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327"/>
  <workbookPr defaultThemeVersion="124226"/>
  <mc:AlternateContent xmlns:mc="http://schemas.openxmlformats.org/markup-compatibility/2006">
    <mc:Choice Requires="x15">
      <x15ac:absPath xmlns:x15ac="http://schemas.microsoft.com/office/spreadsheetml/2010/11/ac" url="https://unipdit-my.sharepoint.com/personal/mattia_maltauro_studenti_unipd_it/Documents/Desktop/local/04_dottorato/04_didattica_integrativa/03_2022-2023/01_MRT-CAD/02_lezioni/05_lezione_5/"/>
    </mc:Choice>
  </mc:AlternateContent>
  <xr:revisionPtr revIDLastSave="38" documentId="13_ncr:1_{5B9FFADA-CE7F-CD41-95EB-AA4A0D065864}" xr6:coauthVersionLast="47" xr6:coauthVersionMax="47" xr10:uidLastSave="{FBC97661-3B52-4D8D-B684-74B18561EA11}"/>
  <bookViews>
    <workbookView showHorizontalScroll="0" showVerticalScroll="0" showSheetTabs="0" xWindow="28680" yWindow="-120" windowWidth="29040" windowHeight="15720" xr2:uid="{00000000-000D-0000-FFFF-FFFF00000000}"/>
  </bookViews>
  <sheets>
    <sheet name="pannello" sheetId="1" r:id="rId1"/>
    <sheet name="dati" sheetId="2" r:id="rId2"/>
    <sheet name="griglia_combinazioni" sheetId="5" r:id="rId3"/>
    <sheet name="Foglio1" sheetId="4" r:id="rId4"/>
    <sheet name="Foglio3" sheetId="3" r:id="rId5"/>
  </sheets>
  <definedNames>
    <definedName name="alberi">dati!$D$33:$AH$73</definedName>
    <definedName name="delta">dati!$AM$83:$AR$107</definedName>
    <definedName name="fori">dati!$D$83:$AJ$123</definedName>
    <definedName name="griglia">griglia_combinazioni!$E$13:$CH$52</definedName>
    <definedName name="griglia_rv">griglia_combinazioni!$E$113:$CH$152</definedName>
    <definedName name="_xlnm.Print_Area" localSheetId="0">pannello!$M$7:$AE$56</definedName>
    <definedName name="scostamenti">dati!$D$5:$U$25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74" i="2" l="1"/>
  <c r="Q74" i="2"/>
  <c r="R74" i="2"/>
  <c r="S74" i="2"/>
  <c r="T74" i="2"/>
  <c r="D74" i="2"/>
  <c r="E74" i="2"/>
  <c r="F74" i="2"/>
  <c r="G74" i="2"/>
  <c r="H74" i="2"/>
  <c r="I74" i="2"/>
  <c r="J74" i="2"/>
  <c r="K74" i="2"/>
  <c r="L74" i="2"/>
  <c r="M74" i="2"/>
  <c r="N74" i="2"/>
  <c r="O74" i="2"/>
  <c r="U74" i="2"/>
  <c r="V74" i="2"/>
  <c r="W74" i="2"/>
  <c r="X74" i="2"/>
  <c r="Y74" i="2"/>
  <c r="Z74" i="2"/>
  <c r="AA74" i="2"/>
  <c r="AB74" i="2"/>
  <c r="AC74" i="2"/>
  <c r="AD74" i="2"/>
  <c r="AE74" i="2"/>
  <c r="AF74" i="2"/>
  <c r="AG74" i="2"/>
  <c r="AH74" i="2"/>
  <c r="D26" i="2"/>
  <c r="E26" i="2"/>
  <c r="F26" i="2"/>
  <c r="G26" i="2"/>
  <c r="H26" i="2"/>
  <c r="I26" i="2"/>
  <c r="J26" i="2"/>
  <c r="K26" i="2"/>
  <c r="L26" i="2"/>
  <c r="M26" i="2"/>
  <c r="N26" i="2"/>
  <c r="O26" i="2"/>
  <c r="P26" i="2"/>
  <c r="Q26" i="2"/>
  <c r="R26" i="2"/>
  <c r="S26" i="2"/>
  <c r="T26" i="2"/>
  <c r="U26" i="2"/>
  <c r="V5" i="2"/>
  <c r="V6" i="2"/>
  <c r="V7" i="2"/>
  <c r="V8" i="2"/>
  <c r="V9" i="2"/>
  <c r="V10" i="2"/>
  <c r="V11" i="2"/>
  <c r="V12" i="2"/>
  <c r="V13" i="2"/>
  <c r="V14" i="2"/>
  <c r="V15" i="2"/>
  <c r="V16" i="2"/>
  <c r="V17" i="2"/>
  <c r="V18" i="2"/>
  <c r="V19" i="2"/>
  <c r="V20" i="2"/>
  <c r="V21" i="2"/>
  <c r="V22" i="2"/>
  <c r="V23" i="2"/>
  <c r="V24" i="2"/>
  <c r="V25" i="2"/>
  <c r="AI42" i="2"/>
  <c r="O42" i="2" s="1"/>
  <c r="AI33" i="2"/>
  <c r="O33" i="2" s="1"/>
  <c r="AI34" i="2"/>
  <c r="AI35" i="2"/>
  <c r="O35" i="2" s="1"/>
  <c r="AI36" i="2"/>
  <c r="O36" i="2" s="1"/>
  <c r="AI37" i="2"/>
  <c r="O37" i="2" s="1"/>
  <c r="AI38" i="2"/>
  <c r="O38" i="2" s="1"/>
  <c r="AI39" i="2"/>
  <c r="AI40" i="2"/>
  <c r="O40" i="2" s="1"/>
  <c r="AI41" i="2"/>
  <c r="AI43" i="2"/>
  <c r="AI44" i="2"/>
  <c r="AI45" i="2"/>
  <c r="AI46" i="2"/>
  <c r="O46" i="2" s="1"/>
  <c r="AI47" i="2"/>
  <c r="O47" i="2" s="1"/>
  <c r="AI48" i="2"/>
  <c r="O48" i="2" s="1"/>
  <c r="AI49" i="2"/>
  <c r="O49" i="2" s="1"/>
  <c r="AI50" i="2"/>
  <c r="O50" i="2" s="1"/>
  <c r="AI51" i="2"/>
  <c r="AI52" i="2"/>
  <c r="O52" i="2" s="1"/>
  <c r="AI53" i="2"/>
  <c r="O53" i="2" s="1"/>
  <c r="AI54" i="2"/>
  <c r="O54" i="2" s="1"/>
  <c r="AI55" i="2"/>
  <c r="O55" i="2" s="1"/>
  <c r="AI56" i="2"/>
  <c r="O56" i="2" s="1"/>
  <c r="AI57" i="2"/>
  <c r="O57" i="2" s="1"/>
  <c r="AI58" i="2"/>
  <c r="O58" i="2" s="1"/>
  <c r="AI59" i="2"/>
  <c r="O59" i="2" s="1"/>
  <c r="AI60" i="2"/>
  <c r="O60" i="2" s="1"/>
  <c r="AI61" i="2"/>
  <c r="O61" i="2" s="1"/>
  <c r="AI62" i="2"/>
  <c r="O62" i="2" s="1"/>
  <c r="AI63" i="2"/>
  <c r="O63" i="2" s="1"/>
  <c r="AI64" i="2"/>
  <c r="O64" i="2" s="1"/>
  <c r="AI65" i="2"/>
  <c r="O65" i="2" s="1"/>
  <c r="AI66" i="2"/>
  <c r="O66" i="2" s="1"/>
  <c r="AI67" i="2"/>
  <c r="O67" i="2" s="1"/>
  <c r="AI68" i="2"/>
  <c r="O68" i="2" s="1"/>
  <c r="AI69" i="2"/>
  <c r="O69" i="2" s="1"/>
  <c r="AI70" i="2"/>
  <c r="O70" i="2" s="1"/>
  <c r="AI71" i="2"/>
  <c r="O71" i="2" s="1"/>
  <c r="AI72" i="2"/>
  <c r="O72" i="2" s="1"/>
  <c r="AI73" i="2"/>
  <c r="O73" i="2" s="1"/>
  <c r="P124" i="2"/>
  <c r="Q124" i="2"/>
  <c r="R124" i="2"/>
  <c r="S124" i="2"/>
  <c r="T124" i="2"/>
  <c r="U124" i="2"/>
  <c r="V124" i="2"/>
  <c r="W124" i="2"/>
  <c r="X124" i="2"/>
  <c r="D124" i="2"/>
  <c r="E124" i="2"/>
  <c r="F124" i="2"/>
  <c r="G124" i="2"/>
  <c r="H124" i="2"/>
  <c r="I124" i="2"/>
  <c r="J124" i="2"/>
  <c r="K124" i="2"/>
  <c r="L124" i="2"/>
  <c r="M124" i="2"/>
  <c r="N124" i="2"/>
  <c r="O124" i="2"/>
  <c r="Y124" i="2"/>
  <c r="Z124" i="2"/>
  <c r="AA124" i="2"/>
  <c r="AB124" i="2"/>
  <c r="AC124" i="2"/>
  <c r="AD124" i="2"/>
  <c r="AE124" i="2"/>
  <c r="AF124" i="2"/>
  <c r="AG124" i="2"/>
  <c r="AH124" i="2"/>
  <c r="AI124" i="2"/>
  <c r="AJ124" i="2"/>
  <c r="AK83" i="2"/>
  <c r="AK84" i="2"/>
  <c r="AK85" i="2"/>
  <c r="AK86" i="2"/>
  <c r="AK87" i="2"/>
  <c r="AK88" i="2"/>
  <c r="AK89" i="2"/>
  <c r="AK90" i="2"/>
  <c r="AK91" i="2"/>
  <c r="AK92" i="2"/>
  <c r="AK93" i="2"/>
  <c r="AK94" i="2"/>
  <c r="AK95" i="2"/>
  <c r="AK96" i="2"/>
  <c r="AK97" i="2"/>
  <c r="AK98" i="2"/>
  <c r="AK99" i="2"/>
  <c r="AK100" i="2"/>
  <c r="AK101" i="2"/>
  <c r="AK102" i="2"/>
  <c r="AK103" i="2"/>
  <c r="AK104" i="2"/>
  <c r="AK105" i="2"/>
  <c r="AK106" i="2"/>
  <c r="AK107" i="2"/>
  <c r="AK108" i="2"/>
  <c r="AK109" i="2"/>
  <c r="AK110" i="2"/>
  <c r="AK111" i="2"/>
  <c r="AK112" i="2"/>
  <c r="AK113" i="2"/>
  <c r="AK114" i="2"/>
  <c r="AK115" i="2"/>
  <c r="AK116" i="2"/>
  <c r="AK117" i="2"/>
  <c r="AK118" i="2"/>
  <c r="AK119" i="2"/>
  <c r="AK120" i="2"/>
  <c r="AK121" i="2"/>
  <c r="AK122" i="2"/>
  <c r="AK123" i="2"/>
  <c r="AM108" i="2"/>
  <c r="AN108" i="2"/>
  <c r="AO108" i="2"/>
  <c r="AP108" i="2"/>
  <c r="AQ108" i="2"/>
  <c r="AR108" i="2"/>
  <c r="AS83" i="2"/>
  <c r="AS84" i="2"/>
  <c r="AS85" i="2"/>
  <c r="AS86" i="2"/>
  <c r="AS87" i="2"/>
  <c r="AS88" i="2"/>
  <c r="AS89" i="2"/>
  <c r="AS90" i="2"/>
  <c r="AS91" i="2"/>
  <c r="AS92" i="2"/>
  <c r="AS93" i="2"/>
  <c r="AS94" i="2"/>
  <c r="AS95" i="2"/>
  <c r="AS96" i="2"/>
  <c r="AS97" i="2"/>
  <c r="AS98" i="2"/>
  <c r="AS99" i="2"/>
  <c r="AS100" i="2"/>
  <c r="AS101" i="2"/>
  <c r="AS102" i="2"/>
  <c r="AS103" i="2"/>
  <c r="AS104" i="2"/>
  <c r="AS105" i="2"/>
  <c r="AS106" i="2"/>
  <c r="AS107" i="2"/>
  <c r="D27" i="2"/>
  <c r="E27" i="2"/>
  <c r="F27" i="2"/>
  <c r="G27" i="2"/>
  <c r="H27" i="2"/>
  <c r="I27" i="2"/>
  <c r="J27" i="2"/>
  <c r="K27" i="2"/>
  <c r="L27" i="2"/>
  <c r="M27" i="2"/>
  <c r="N27" i="2"/>
  <c r="O27" i="2"/>
  <c r="P27" i="2"/>
  <c r="Q27" i="2"/>
  <c r="R27" i="2"/>
  <c r="S27" i="2"/>
  <c r="T27" i="2"/>
  <c r="U27" i="2"/>
  <c r="AP103" i="2"/>
  <c r="B4" i="5"/>
  <c r="AA41" i="1"/>
  <c r="D83" i="2"/>
  <c r="Q41" i="1"/>
  <c r="AG126" i="2"/>
  <c r="C113" i="5"/>
  <c r="C153" i="5" s="1"/>
  <c r="C121" i="5"/>
  <c r="C129" i="5"/>
  <c r="C137" i="5"/>
  <c r="C145" i="5"/>
  <c r="W83" i="2"/>
  <c r="X83" i="2"/>
  <c r="E83" i="2"/>
  <c r="R29" i="1"/>
  <c r="AD41" i="1"/>
  <c r="Z29" i="1"/>
  <c r="AP102" i="2"/>
  <c r="S41" i="1"/>
  <c r="O34" i="2"/>
  <c r="W26" i="2" l="1"/>
  <c r="AJ74" i="2"/>
  <c r="AT108" i="2"/>
  <c r="W27" i="2"/>
  <c r="AS108" i="2"/>
  <c r="AI74" i="2"/>
  <c r="AL124" i="2"/>
  <c r="V26" i="2"/>
  <c r="AK124" i="2"/>
  <c r="X26" i="2" l="1"/>
  <c r="O39" i="2" s="1"/>
  <c r="O45" i="2"/>
  <c r="AU108" i="2"/>
  <c r="X27" i="2"/>
  <c r="O101" i="2" s="1"/>
  <c r="AM124" i="2"/>
  <c r="O44" i="2"/>
  <c r="O43" i="2"/>
  <c r="O51" i="2" l="1"/>
  <c r="O41" i="2"/>
  <c r="C12" i="1"/>
  <c r="AK74" i="2"/>
  <c r="C11" i="1" s="1"/>
  <c r="A11" i="1" s="1"/>
  <c r="O99" i="2"/>
  <c r="O111" i="2"/>
  <c r="O93" i="2"/>
  <c r="AP124" i="2"/>
  <c r="O114" i="2"/>
  <c r="O115" i="2"/>
  <c r="O90" i="2"/>
  <c r="O91" i="2"/>
  <c r="O89" i="2"/>
  <c r="O95" i="2"/>
  <c r="O107" i="2"/>
  <c r="O84" i="2"/>
  <c r="O112" i="2"/>
  <c r="O92" i="2"/>
  <c r="O97" i="2"/>
  <c r="O121" i="2"/>
  <c r="O120" i="2"/>
  <c r="O106" i="2"/>
  <c r="O122" i="2"/>
  <c r="O110" i="2"/>
  <c r="O117" i="2"/>
  <c r="C16" i="1"/>
  <c r="C8" i="1" s="1"/>
  <c r="O88" i="2"/>
  <c r="O87" i="2"/>
  <c r="O94" i="2"/>
  <c r="O116" i="2"/>
  <c r="O103" i="2"/>
  <c r="O105" i="2"/>
  <c r="O96" i="2"/>
  <c r="O100" i="2"/>
  <c r="O123" i="2"/>
  <c r="O98" i="2"/>
  <c r="O108" i="2"/>
  <c r="O86" i="2"/>
  <c r="O102" i="2"/>
  <c r="O109" i="2"/>
  <c r="O113" i="2"/>
  <c r="O83" i="2"/>
  <c r="O119" i="2"/>
  <c r="Q14" i="1"/>
  <c r="AO124" i="2"/>
  <c r="O118" i="2"/>
  <c r="O85" i="2"/>
  <c r="O104" i="2"/>
  <c r="Z14" i="1" l="1"/>
  <c r="AB51" i="1" s="1"/>
  <c r="A12" i="1"/>
  <c r="C14" i="1"/>
  <c r="A14" i="1" s="1"/>
  <c r="A16" i="1" s="1"/>
  <c r="Q51" i="1" l="1"/>
  <c r="AA45" i="1"/>
  <c r="AA43" i="1"/>
  <c r="Q43" i="1"/>
  <c r="Q45" i="1"/>
  <c r="H152" i="1" s="1"/>
  <c r="I25" i="1" l="1"/>
  <c r="B57" i="1"/>
  <c r="B5" i="5"/>
  <c r="B6" i="5"/>
  <c r="B58" i="1"/>
  <c r="I26" i="1"/>
  <c r="H125" i="1"/>
  <c r="B43" i="1"/>
  <c r="F43" i="1" s="1"/>
  <c r="W28" i="1" s="1"/>
  <c r="B7" i="5"/>
  <c r="H122" i="1"/>
  <c r="A57" i="1"/>
  <c r="I24" i="1"/>
  <c r="H149" i="1"/>
  <c r="H155" i="1"/>
  <c r="H131" i="1"/>
  <c r="H143" i="1"/>
  <c r="H137" i="1"/>
  <c r="A58" i="1"/>
  <c r="H158" i="1"/>
  <c r="H146" i="1"/>
  <c r="B8" i="5"/>
  <c r="B41" i="1"/>
  <c r="C41" i="1" s="1"/>
  <c r="U33" i="1" s="1"/>
  <c r="H140" i="1"/>
  <c r="H128" i="1"/>
  <c r="H134" i="1"/>
  <c r="E2" i="5" l="1"/>
  <c r="E1" i="5" s="1"/>
  <c r="C13" i="5"/>
  <c r="C21" i="5"/>
  <c r="C45" i="5"/>
  <c r="C37" i="5"/>
  <c r="C29" i="5"/>
  <c r="AB49" i="1"/>
  <c r="AB47" i="1"/>
  <c r="C43" i="1"/>
  <c r="W33" i="1" s="1"/>
  <c r="I2" i="5"/>
  <c r="Q47" i="1"/>
  <c r="H161" i="1"/>
  <c r="Q49" i="1"/>
  <c r="F41" i="1"/>
  <c r="U28" i="1" s="1"/>
  <c r="CG2" i="5"/>
  <c r="BE2" i="5"/>
  <c r="BS2" i="5"/>
  <c r="CE2" i="5"/>
  <c r="U2" i="5"/>
  <c r="BQ2" i="5"/>
  <c r="BI2" i="5"/>
  <c r="AA2" i="5"/>
  <c r="BM2" i="5"/>
  <c r="O2" i="5"/>
  <c r="AM2" i="5"/>
  <c r="AS2" i="5"/>
  <c r="Q2" i="5"/>
  <c r="CA2" i="5"/>
  <c r="M2" i="5"/>
  <c r="AE2" i="5"/>
  <c r="BO2" i="5"/>
  <c r="AC2" i="5"/>
  <c r="CC2" i="5"/>
  <c r="BC2" i="5"/>
  <c r="G2" i="5"/>
  <c r="K2" i="5"/>
  <c r="S2" i="5"/>
  <c r="AY2" i="5"/>
  <c r="AW2" i="5"/>
  <c r="BW2" i="5"/>
  <c r="AG2" i="5"/>
  <c r="BA2" i="5"/>
  <c r="BG2" i="5"/>
  <c r="BU2" i="5"/>
  <c r="AI2" i="5"/>
  <c r="W2" i="5"/>
  <c r="BY2" i="5"/>
  <c r="AU2" i="5"/>
  <c r="BK2" i="5"/>
  <c r="AK2" i="5"/>
  <c r="AQ2" i="5"/>
  <c r="AO2" i="5"/>
  <c r="Y2" i="5"/>
  <c r="G1" i="5" l="1"/>
  <c r="C53" i="5"/>
  <c r="BC1" i="5"/>
  <c r="CE1" i="5"/>
  <c r="BY1" i="5"/>
  <c r="AU1" i="5"/>
  <c r="BS1" i="5"/>
  <c r="AQ1" i="5"/>
  <c r="AI1" i="5"/>
  <c r="Y1" i="5"/>
  <c r="W1" i="5"/>
  <c r="BA1" i="5"/>
  <c r="AY1" i="5"/>
  <c r="AW1" i="5"/>
  <c r="CA1" i="5"/>
  <c r="BW1" i="5"/>
  <c r="AC1" i="5"/>
  <c r="AA1" i="5"/>
  <c r="CC1" i="5"/>
  <c r="Q1" i="5"/>
  <c r="I1" i="5"/>
  <c r="BQ1" i="5"/>
  <c r="U1" i="5"/>
  <c r="M1" i="5"/>
  <c r="AG1" i="5"/>
  <c r="BI1" i="5"/>
  <c r="BU1" i="5"/>
  <c r="AS1" i="5"/>
  <c r="CG1" i="5"/>
  <c r="AE1" i="5"/>
  <c r="S1" i="5"/>
  <c r="K1" i="5"/>
  <c r="AO1" i="5"/>
  <c r="AK1" i="5"/>
  <c r="BM1" i="5"/>
  <c r="AM1" i="5"/>
  <c r="BO1" i="5"/>
  <c r="BE1" i="5"/>
  <c r="BG1" i="5"/>
  <c r="O1" i="5"/>
  <c r="BK1" i="5"/>
  <c r="F155" i="5" l="1"/>
  <c r="H155" i="5" s="1"/>
  <c r="F55" i="5"/>
  <c r="H55" i="5" s="1"/>
  <c r="CI1" i="5"/>
  <c r="F156" i="5" s="1"/>
  <c r="H156" i="5" s="1"/>
  <c r="F56" i="5" l="1"/>
  <c r="H56" i="5" s="1"/>
  <c r="E65" i="5" s="1"/>
  <c r="F161" i="5"/>
  <c r="D34" i="1" s="1"/>
  <c r="E159" i="5"/>
  <c r="F162" i="5"/>
  <c r="D35" i="1" s="1"/>
  <c r="E161" i="5"/>
  <c r="E158" i="5"/>
  <c r="F165" i="5"/>
  <c r="D38" i="1" s="1"/>
  <c r="F163" i="5"/>
  <c r="D36" i="1" s="1"/>
  <c r="E163" i="5"/>
  <c r="E164" i="5"/>
  <c r="E160" i="5"/>
  <c r="E162" i="5"/>
  <c r="F160" i="5"/>
  <c r="D33" i="1" s="1"/>
  <c r="E165" i="5"/>
  <c r="F159" i="5"/>
  <c r="D32" i="1" s="1"/>
  <c r="F164" i="5"/>
  <c r="D37" i="1" s="1"/>
  <c r="F158" i="5"/>
  <c r="D31" i="1" s="1"/>
  <c r="F65" i="5" l="1"/>
  <c r="D28" i="1" s="1"/>
  <c r="F59" i="5"/>
  <c r="D22" i="1" s="1"/>
  <c r="F63" i="5"/>
  <c r="D26" i="1" s="1"/>
  <c r="E60" i="5"/>
  <c r="C23" i="1" s="1"/>
  <c r="F62" i="5"/>
  <c r="D25" i="1" s="1"/>
  <c r="F58" i="5"/>
  <c r="D21" i="1" s="1"/>
  <c r="E64" i="5"/>
  <c r="C27" i="1" s="1"/>
  <c r="F60" i="5"/>
  <c r="D23" i="1" s="1"/>
  <c r="E59" i="5"/>
  <c r="E61" i="5"/>
  <c r="E62" i="5"/>
  <c r="F64" i="5"/>
  <c r="D27" i="1" s="1"/>
  <c r="E58" i="5"/>
  <c r="C21" i="1" s="1"/>
  <c r="E63" i="5"/>
  <c r="C26" i="1" s="1"/>
  <c r="F61" i="5"/>
  <c r="D24" i="1" s="1"/>
  <c r="C36" i="1"/>
  <c r="H163" i="5"/>
  <c r="C34" i="1"/>
  <c r="H161" i="5"/>
  <c r="C31" i="1"/>
  <c r="H158" i="5"/>
  <c r="C38" i="1"/>
  <c r="H165" i="5"/>
  <c r="H162" i="5"/>
  <c r="C35" i="1"/>
  <c r="H160" i="5"/>
  <c r="C33" i="1"/>
  <c r="C32" i="1"/>
  <c r="H159" i="5"/>
  <c r="C28" i="1"/>
  <c r="C37" i="1"/>
  <c r="H164" i="5"/>
  <c r="H61" i="5" l="1"/>
  <c r="H62" i="5"/>
  <c r="H59" i="5"/>
  <c r="H63" i="5"/>
  <c r="H60" i="5"/>
  <c r="H65" i="5"/>
  <c r="C25" i="1"/>
  <c r="H64" i="5"/>
  <c r="C24" i="1"/>
  <c r="C22" i="1"/>
  <c r="H58" i="5"/>
  <c r="H166" i="5"/>
  <c r="H167" i="5" s="1"/>
  <c r="H66" i="5" l="1"/>
  <c r="H67" i="5" s="1"/>
  <c r="I41" i="1" s="1"/>
  <c r="U41"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attili</author>
  </authors>
  <commentList>
    <comment ref="O31" authorId="0" shapeId="0" xr:uid="{00000000-0006-0000-0100-000001000000}">
      <text>
        <r>
          <rPr>
            <b/>
            <sz val="8"/>
            <color indexed="81"/>
            <rFont val="Tahoma"/>
            <family val="2"/>
          </rPr>
          <t>Nota:</t>
        </r>
        <r>
          <rPr>
            <sz val="8"/>
            <color indexed="81"/>
            <rFont val="Tahoma"/>
            <family val="2"/>
          </rPr>
          <t xml:space="preserve">
valore pari a IT/2</t>
        </r>
      </text>
    </comment>
  </commentList>
</comments>
</file>

<file path=xl/sharedStrings.xml><?xml version="1.0" encoding="utf-8"?>
<sst xmlns="http://schemas.openxmlformats.org/spreadsheetml/2006/main" count="2064" uniqueCount="319">
  <si>
    <t>a</t>
  </si>
  <si>
    <t>b</t>
  </si>
  <si>
    <t>c</t>
  </si>
  <si>
    <t>d</t>
  </si>
  <si>
    <t>e</t>
  </si>
  <si>
    <t>f</t>
  </si>
  <si>
    <t>g</t>
  </si>
  <si>
    <t>h</t>
  </si>
  <si>
    <t>j</t>
  </si>
  <si>
    <t>k</t>
  </si>
  <si>
    <t>m</t>
  </si>
  <si>
    <t>n</t>
  </si>
  <si>
    <t>y</t>
  </si>
  <si>
    <t>p</t>
  </si>
  <si>
    <t>r</t>
  </si>
  <si>
    <t>s</t>
  </si>
  <si>
    <t>t</t>
  </si>
  <si>
    <t>u</t>
  </si>
  <si>
    <t>v</t>
  </si>
  <si>
    <t>x</t>
  </si>
  <si>
    <t>z</t>
  </si>
  <si>
    <t>cd</t>
  </si>
  <si>
    <t>ef</t>
  </si>
  <si>
    <t>fg</t>
  </si>
  <si>
    <t>js</t>
  </si>
  <si>
    <t>za</t>
  </si>
  <si>
    <t>zb</t>
  </si>
  <si>
    <t>zc</t>
  </si>
  <si>
    <t>oltre</t>
  </si>
  <si>
    <t xml:space="preserve">fino a </t>
  </si>
  <si>
    <t>Fundamental Deviation ( ei )</t>
  </si>
  <si>
    <t>(ei )</t>
  </si>
  <si>
    <t>Fundamental Deviation (es )</t>
  </si>
  <si>
    <t>Up -to (Incl.)</t>
  </si>
  <si>
    <t>Over</t>
  </si>
  <si>
    <t>Gradi di tolleranze normalizzati IT</t>
  </si>
  <si>
    <t>Diametri</t>
  </si>
  <si>
    <t>VALORI NUMERICI GRADI DI TOLLERANZA NORMALIZZATI IT PER DIMENSIONI NOMINALI 1÷3150</t>
  </si>
  <si>
    <t>4÷7</t>
  </si>
  <si>
    <t>altri</t>
  </si>
  <si>
    <t>5-6</t>
  </si>
  <si>
    <t>mm</t>
  </si>
  <si>
    <t>A</t>
  </si>
  <si>
    <t>B</t>
  </si>
  <si>
    <t>C</t>
  </si>
  <si>
    <t>CD</t>
  </si>
  <si>
    <t>D</t>
  </si>
  <si>
    <t>E</t>
  </si>
  <si>
    <t>EF</t>
  </si>
  <si>
    <t>F</t>
  </si>
  <si>
    <t>FG</t>
  </si>
  <si>
    <t>G</t>
  </si>
  <si>
    <t>H</t>
  </si>
  <si>
    <t>J</t>
  </si>
  <si>
    <t>JS</t>
  </si>
  <si>
    <t>K</t>
  </si>
  <si>
    <t>M</t>
  </si>
  <si>
    <t>N</t>
  </si>
  <si>
    <t>P</t>
  </si>
  <si>
    <t>R</t>
  </si>
  <si>
    <t>S</t>
  </si>
  <si>
    <t>T</t>
  </si>
  <si>
    <t>U</t>
  </si>
  <si>
    <t>V</t>
  </si>
  <si>
    <t>X</t>
  </si>
  <si>
    <t>Y</t>
  </si>
  <si>
    <t>Z</t>
  </si>
  <si>
    <t>ZA</t>
  </si>
  <si>
    <t>ZB</t>
  </si>
  <si>
    <t>ZC</t>
  </si>
  <si>
    <t>over</t>
  </si>
  <si>
    <t>Up to</t>
  </si>
  <si>
    <t>Fundamental Deviation (El )</t>
  </si>
  <si>
    <t>Fundamental Deviation (Es )</t>
  </si>
  <si>
    <t>(Incl.)</t>
  </si>
  <si>
    <t>Z     </t>
  </si>
  <si>
    <t>ZA     </t>
  </si>
  <si>
    <t>ZB     </t>
  </si>
  <si>
    <t>ZC     </t>
  </si>
  <si>
    <t>IT/2</t>
  </si>
  <si>
    <t>Valori di delta</t>
  </si>
  <si>
    <t>g7/N7</t>
  </si>
  <si>
    <t>se a&gt;d</t>
  </si>
  <si>
    <t>se a=d</t>
  </si>
  <si>
    <t>se F&gt;d e f&lt;d e a&gt;F</t>
  </si>
  <si>
    <t>se f=d e a=F</t>
  </si>
  <si>
    <t>se a&lt;F e f=d e A&gt;F</t>
  </si>
  <si>
    <t>se f=d e A=F</t>
  </si>
  <si>
    <t>se a=f e A=F</t>
  </si>
  <si>
    <t>se f=d e A&lt;F</t>
  </si>
  <si>
    <t>se f&gt;d e a&gt;f e A&lt;F</t>
  </si>
  <si>
    <t>se a&gt;F e f&gt;d</t>
  </si>
  <si>
    <t>se A&gt;d e a&lt;d</t>
  </si>
  <si>
    <t>se A=F e a&gt;f e f&gt;d</t>
  </si>
  <si>
    <t>se a&gt;F e f=d</t>
  </si>
  <si>
    <t>se a=F e f&gt;d</t>
  </si>
  <si>
    <t>se F&lt;d e a&gt;F</t>
  </si>
  <si>
    <t>se A&gt;F e a&gt;f e f&gt;d</t>
  </si>
  <si>
    <t>se F=d e a&gt;f</t>
  </si>
  <si>
    <t>se A&gt;F e f&lt;d e F&gt;d e a&gt;f</t>
  </si>
  <si>
    <t>se  A=F e f&lt;d e a&gt;f</t>
  </si>
  <si>
    <t>se a=f e A&gt;F e F&gt;d</t>
  </si>
  <si>
    <t>se a&lt;f  e A&gt;F e f&gt;d</t>
  </si>
  <si>
    <t>se A=F e a&lt;f e f&gt;d</t>
  </si>
  <si>
    <t>se a&lt;f e A&gt;f e A&lt;F e f&gt;d</t>
  </si>
  <si>
    <t>se a=f e F=d</t>
  </si>
  <si>
    <t>se a&lt;f e A&gt;F e f&lt;d e F&gt;d</t>
  </si>
  <si>
    <t>se A=F e a&lt;f e f&lt;d</t>
  </si>
  <si>
    <t>se A=d</t>
  </si>
  <si>
    <t>se [F&gt;d] e f&lt;d e a=F</t>
  </si>
  <si>
    <t>se A&lt;d</t>
  </si>
  <si>
    <t>se A&lt;F e f&lt;d e a&gt;f e F&gt;d</t>
  </si>
  <si>
    <t>se a&gt;f e a&lt;F e F&lt;d e A&gt;F</t>
  </si>
  <si>
    <t>se a&gt;f e A&lt;F e F&lt;d</t>
  </si>
  <si>
    <t>se a=f e F&lt;d e A&gt;F</t>
  </si>
  <si>
    <t>se a=f e A&lt;F e F&gt;d</t>
  </si>
  <si>
    <t>se a=f e A&lt;F e F&lt;d</t>
  </si>
  <si>
    <t>se a&lt;f e F&lt;d e A&gt;F</t>
  </si>
  <si>
    <t>se A=f e F&lt;d</t>
  </si>
  <si>
    <t>se A=f e A&lt;F e F&gt;d</t>
  </si>
  <si>
    <t>se a&lt;f e F=d e A&gt;f</t>
  </si>
  <si>
    <t>se a&lt;f e A&lt;F e F&lt;d e A&gt;f</t>
  </si>
  <si>
    <t>se A=f e F=d</t>
  </si>
  <si>
    <t>se A&lt;f e F&lt;d</t>
  </si>
  <si>
    <t>se F=d e A&lt;f</t>
  </si>
  <si>
    <t>se A&lt;f e F&gt;d e f&lt;d</t>
  </si>
  <si>
    <t>se A&lt;f e F&gt;d e f&gt;d</t>
  </si>
  <si>
    <t>se a&lt;f e f&lt;d e A&lt;F e F&gt;d e A&gt;f</t>
  </si>
  <si>
    <t>I</t>
  </si>
  <si>
    <t>L</t>
  </si>
  <si>
    <t>controlli</t>
  </si>
  <si>
    <t>interf. max</t>
  </si>
  <si>
    <t>interf. Min</t>
  </si>
  <si>
    <t>H11/a11</t>
  </si>
  <si>
    <t>H11/b11</t>
  </si>
  <si>
    <t>H11/c11</t>
  </si>
  <si>
    <t>H8/f8</t>
  </si>
  <si>
    <t>H7/f7</t>
  </si>
  <si>
    <t>Hide standard fits</t>
  </si>
  <si>
    <t>H6/g5</t>
  </si>
  <si>
    <t>H7/h6</t>
  </si>
  <si>
    <t>H7/j6</t>
  </si>
  <si>
    <t>H7/k6</t>
  </si>
  <si>
    <t>H7/n6</t>
  </si>
  <si>
    <t>H7/s6</t>
  </si>
  <si>
    <t>H8/h8</t>
  </si>
  <si>
    <t>H11/d11</t>
  </si>
  <si>
    <t>H11/h11</t>
  </si>
  <si>
    <t>H7/a9</t>
  </si>
  <si>
    <t>H7/b9</t>
  </si>
  <si>
    <t>H7/b8</t>
  </si>
  <si>
    <t>H7/c9</t>
  </si>
  <si>
    <t>H7/c8</t>
  </si>
  <si>
    <t>H9/d10</t>
  </si>
  <si>
    <t>H7/d9</t>
  </si>
  <si>
    <t>H7/d8</t>
  </si>
  <si>
    <t>H8/e9</t>
  </si>
  <si>
    <t>H7/e8</t>
  </si>
  <si>
    <t>H6/e7</t>
  </si>
  <si>
    <t>H6/f7</t>
  </si>
  <si>
    <t>H7/g6</t>
  </si>
  <si>
    <t>H8/h7</t>
  </si>
  <si>
    <t>H6/h5</t>
  </si>
  <si>
    <t>H8/j7</t>
  </si>
  <si>
    <t>H6/j5</t>
  </si>
  <si>
    <t>H8/k7</t>
  </si>
  <si>
    <t>H6/k5</t>
  </si>
  <si>
    <t>H8/m7</t>
  </si>
  <si>
    <t>H7/m6</t>
  </si>
  <si>
    <t>H6/m5</t>
  </si>
  <si>
    <t>H8/n6</t>
  </si>
  <si>
    <t>H6/n5</t>
  </si>
  <si>
    <t>H8/p6</t>
  </si>
  <si>
    <t>H7/p6</t>
  </si>
  <si>
    <t>H6/p5</t>
  </si>
  <si>
    <t>H8/r7</t>
  </si>
  <si>
    <t>H7/r6</t>
  </si>
  <si>
    <t>H6/r5</t>
  </si>
  <si>
    <t>H8/s7</t>
  </si>
  <si>
    <t>H6/s5</t>
  </si>
  <si>
    <t>H8/t7</t>
  </si>
  <si>
    <t>H6/t5</t>
  </si>
  <si>
    <t>H8/u7</t>
  </si>
  <si>
    <t>H7/u6</t>
  </si>
  <si>
    <t>H6/u5</t>
  </si>
  <si>
    <t>H8/x7</t>
  </si>
  <si>
    <t>H7/x6</t>
  </si>
  <si>
    <t>H6/x5</t>
  </si>
  <si>
    <t>H8/z7</t>
  </si>
  <si>
    <t>H7/z6</t>
  </si>
  <si>
    <t>INTERFERENCE</t>
  </si>
  <si>
    <t>TRANSITION</t>
  </si>
  <si>
    <t xml:space="preserve">     CLEARANCE</t>
  </si>
  <si>
    <t>HOLE BASIS SYSTEM</t>
  </si>
  <si>
    <t>SHAFT BASIS SYSTEM</t>
  </si>
  <si>
    <t>L I S T    O F    S T A N D A R D    F I T S</t>
  </si>
  <si>
    <t>h11/A11</t>
  </si>
  <si>
    <t>h8/A9</t>
  </si>
  <si>
    <t>h7/A9</t>
  </si>
  <si>
    <t>h6/A9</t>
  </si>
  <si>
    <t>h11/B11</t>
  </si>
  <si>
    <t>h8/B9</t>
  </si>
  <si>
    <t>h7/B9</t>
  </si>
  <si>
    <t>h8/B8</t>
  </si>
  <si>
    <t>h7/B8</t>
  </si>
  <si>
    <t>h6/B9</t>
  </si>
  <si>
    <t>h6/B8</t>
  </si>
  <si>
    <t>h11/C11</t>
  </si>
  <si>
    <t>h8/C9</t>
  </si>
  <si>
    <t>h8/C8</t>
  </si>
  <si>
    <t>h7/C9</t>
  </si>
  <si>
    <t>h7/C8</t>
  </si>
  <si>
    <t>h6/C9</t>
  </si>
  <si>
    <t>h6/C8</t>
  </si>
  <si>
    <t>h11/D11</t>
  </si>
  <si>
    <t>h9/D10</t>
  </si>
  <si>
    <t>h8/D10</t>
  </si>
  <si>
    <t>h6/D9</t>
  </si>
  <si>
    <t>h6/D8</t>
  </si>
  <si>
    <t>h9/E9</t>
  </si>
  <si>
    <t>h8/E9</t>
  </si>
  <si>
    <t>h6/E8</t>
  </si>
  <si>
    <t>h5/E5</t>
  </si>
  <si>
    <t>h9/F8</t>
  </si>
  <si>
    <t>h8/F8</t>
  </si>
  <si>
    <t>h6/F7</t>
  </si>
  <si>
    <t>h5/F6</t>
  </si>
  <si>
    <t>h6/G7</t>
  </si>
  <si>
    <t>h5/G6</t>
  </si>
  <si>
    <t>h11/H11</t>
  </si>
  <si>
    <t>h9/H8</t>
  </si>
  <si>
    <t>h8/H8</t>
  </si>
  <si>
    <t>h7/H8</t>
  </si>
  <si>
    <t>h6/H7</t>
  </si>
  <si>
    <t>h5/H6</t>
  </si>
  <si>
    <t>h7/J8</t>
  </si>
  <si>
    <t>h6/J7</t>
  </si>
  <si>
    <t>h5/J6</t>
  </si>
  <si>
    <t>h7/K8</t>
  </si>
  <si>
    <t>h6/K7</t>
  </si>
  <si>
    <t>h5/K6</t>
  </si>
  <si>
    <t>h6/M7</t>
  </si>
  <si>
    <t>h7/M8</t>
  </si>
  <si>
    <t>h5/M6</t>
  </si>
  <si>
    <t>h7/N8</t>
  </si>
  <si>
    <t>h6/N7</t>
  </si>
  <si>
    <t>h6/N6</t>
  </si>
  <si>
    <t>h6/P7</t>
  </si>
  <si>
    <t>h5/P6</t>
  </si>
  <si>
    <t>h6/R7</t>
  </si>
  <si>
    <t>h5/R6</t>
  </si>
  <si>
    <t>h6/S7</t>
  </si>
  <si>
    <t>h5/S6</t>
  </si>
  <si>
    <t>h6/T7</t>
  </si>
  <si>
    <t>h5/T6</t>
  </si>
  <si>
    <t>h6/U7</t>
  </si>
  <si>
    <t>h5/U6</t>
  </si>
  <si>
    <t>h6/X7</t>
  </si>
  <si>
    <t>h5/X6</t>
  </si>
  <si>
    <t>h6/Z7</t>
  </si>
  <si>
    <r>
      <t xml:space="preserve">An overview of tolerance zones for general use can be found in the following table.
The tolerance zones not included in this table are considered special zones and their use is recommended only in technically well-grounded cases.
Preferred fits are in </t>
    </r>
    <r>
      <rPr>
        <b/>
        <sz val="10"/>
        <color indexed="23"/>
        <rFont val="Arial"/>
        <family val="2"/>
      </rPr>
      <t>bold</t>
    </r>
    <r>
      <rPr>
        <sz val="10"/>
        <color indexed="23"/>
        <rFont val="Arial"/>
        <family val="2"/>
      </rPr>
      <t>.</t>
    </r>
  </si>
  <si>
    <t>H6/h6</t>
  </si>
  <si>
    <t>H6/n6</t>
  </si>
  <si>
    <t>H7/f6</t>
  </si>
  <si>
    <t>H6/j6</t>
  </si>
  <si>
    <t>H8/n8</t>
  </si>
  <si>
    <t>H9/n9</t>
  </si>
  <si>
    <t>J6/h6</t>
  </si>
  <si>
    <t>K6/h6</t>
  </si>
  <si>
    <t>E8/h7</t>
  </si>
  <si>
    <t>F8/h7</t>
  </si>
  <si>
    <t>J7/h7</t>
  </si>
  <si>
    <t>K7/h7</t>
  </si>
  <si>
    <t>M6/h7</t>
  </si>
  <si>
    <t>N7/h7</t>
  </si>
  <si>
    <t>D10/h8</t>
  </si>
  <si>
    <t>F9/h8</t>
  </si>
  <si>
    <t>E9/h8</t>
  </si>
  <si>
    <t>H9/h8</t>
  </si>
  <si>
    <r>
      <t xml:space="preserve">A11 </t>
    </r>
    <r>
      <rPr>
        <sz val="10"/>
        <rFont val="Arial"/>
        <family val="2"/>
      </rPr>
      <t xml:space="preserve">- </t>
    </r>
    <r>
      <rPr>
        <b/>
        <sz val="10"/>
        <rFont val="Arial"/>
        <family val="2"/>
      </rPr>
      <t xml:space="preserve">B11 </t>
    </r>
    <r>
      <rPr>
        <sz val="10"/>
        <rFont val="Arial"/>
        <family val="2"/>
      </rPr>
      <t xml:space="preserve">- </t>
    </r>
    <r>
      <rPr>
        <b/>
        <sz val="10"/>
        <rFont val="Arial"/>
        <family val="2"/>
      </rPr>
      <t xml:space="preserve">C11 </t>
    </r>
    <r>
      <rPr>
        <sz val="10"/>
        <rFont val="Arial"/>
        <family val="2"/>
      </rPr>
      <t xml:space="preserve">- D9 - </t>
    </r>
    <r>
      <rPr>
        <b/>
        <sz val="10"/>
        <rFont val="Arial"/>
        <family val="2"/>
      </rPr>
      <t xml:space="preserve">D10 </t>
    </r>
    <r>
      <rPr>
        <sz val="10"/>
        <rFont val="Arial"/>
        <family val="2"/>
      </rPr>
      <t xml:space="preserve">- D11 - E8 - </t>
    </r>
    <r>
      <rPr>
        <b/>
        <sz val="10"/>
        <rFont val="Arial"/>
        <family val="2"/>
      </rPr>
      <t xml:space="preserve">E9 </t>
    </r>
    <r>
      <rPr>
        <sz val="10"/>
        <rFont val="Arial"/>
        <family val="2"/>
      </rPr>
      <t xml:space="preserve">- E10 - F7 - </t>
    </r>
    <r>
      <rPr>
        <b/>
        <sz val="10"/>
        <rFont val="Arial"/>
        <family val="2"/>
      </rPr>
      <t xml:space="preserve">F8 </t>
    </r>
    <r>
      <rPr>
        <sz val="10"/>
        <rFont val="Arial"/>
        <family val="2"/>
      </rPr>
      <t xml:space="preserve">- F9 - G6 - </t>
    </r>
    <r>
      <rPr>
        <b/>
        <sz val="10"/>
        <rFont val="Arial"/>
        <family val="2"/>
      </rPr>
      <t xml:space="preserve">G7 </t>
    </r>
    <r>
      <rPr>
        <sz val="10"/>
        <rFont val="Arial"/>
        <family val="2"/>
      </rPr>
      <t xml:space="preserve">- H6 - </t>
    </r>
    <r>
      <rPr>
        <b/>
        <sz val="10"/>
        <rFont val="Arial"/>
        <family val="2"/>
      </rPr>
      <t>H7</t>
    </r>
    <r>
      <rPr>
        <sz val="10"/>
        <rFont val="Arial"/>
        <family val="2"/>
      </rPr>
      <t xml:space="preserve"> - </t>
    </r>
    <r>
      <rPr>
        <b/>
        <sz val="10"/>
        <rFont val="Arial"/>
        <family val="2"/>
      </rPr>
      <t>H8</t>
    </r>
    <r>
      <rPr>
        <sz val="10"/>
        <rFont val="Arial"/>
        <family val="2"/>
      </rPr>
      <t xml:space="preserve"> - </t>
    </r>
    <r>
      <rPr>
        <b/>
        <sz val="10"/>
        <rFont val="Arial"/>
        <family val="2"/>
      </rPr>
      <t>H9</t>
    </r>
    <r>
      <rPr>
        <sz val="10"/>
        <rFont val="Arial"/>
        <family val="2"/>
      </rPr>
      <t xml:space="preserve"> - H10 - </t>
    </r>
    <r>
      <rPr>
        <b/>
        <sz val="10"/>
        <rFont val="Arial"/>
        <family val="2"/>
      </rPr>
      <t>H11</t>
    </r>
    <r>
      <rPr>
        <sz val="10"/>
        <rFont val="Arial"/>
        <family val="2"/>
      </rPr>
      <t xml:space="preserve"> - Js5 - Js6 - </t>
    </r>
    <r>
      <rPr>
        <b/>
        <sz val="10"/>
        <rFont val="Arial"/>
        <family val="2"/>
      </rPr>
      <t>Js7</t>
    </r>
    <r>
      <rPr>
        <sz val="10"/>
        <rFont val="Arial"/>
        <family val="2"/>
      </rPr>
      <t xml:space="preserve"> - Js8 - K6 - </t>
    </r>
    <r>
      <rPr>
        <b/>
        <sz val="10"/>
        <rFont val="Arial"/>
        <family val="2"/>
      </rPr>
      <t>K7</t>
    </r>
    <r>
      <rPr>
        <sz val="10"/>
        <rFont val="Arial"/>
        <family val="2"/>
      </rPr>
      <t xml:space="preserve"> - K8 - M6 - M7 - M8 - N6 - </t>
    </r>
    <r>
      <rPr>
        <b/>
        <sz val="10"/>
        <rFont val="Arial"/>
        <family val="2"/>
      </rPr>
      <t>N7</t>
    </r>
    <r>
      <rPr>
        <sz val="10"/>
        <rFont val="Arial"/>
        <family val="2"/>
      </rPr>
      <t xml:space="preserve"> - N8 - P6 - </t>
    </r>
    <r>
      <rPr>
        <b/>
        <sz val="10"/>
        <rFont val="Arial"/>
        <family val="2"/>
      </rPr>
      <t>P7</t>
    </r>
    <r>
      <rPr>
        <sz val="10"/>
        <rFont val="Arial"/>
        <family val="2"/>
      </rPr>
      <t xml:space="preserve"> - P8 - R6 - </t>
    </r>
    <r>
      <rPr>
        <b/>
        <sz val="10"/>
        <rFont val="Arial"/>
        <family val="2"/>
      </rPr>
      <t>R7</t>
    </r>
    <r>
      <rPr>
        <sz val="10"/>
        <rFont val="Arial"/>
        <family val="2"/>
      </rPr>
      <t xml:space="preserve"> - R8 - S6 - </t>
    </r>
    <r>
      <rPr>
        <b/>
        <sz val="10"/>
        <rFont val="Arial"/>
        <family val="2"/>
      </rPr>
      <t>S7</t>
    </r>
    <r>
      <rPr>
        <sz val="10"/>
        <rFont val="Arial"/>
        <family val="2"/>
      </rPr>
      <t xml:space="preserve"> - T6 - T7</t>
    </r>
  </si>
  <si>
    <r>
      <t>a11</t>
    </r>
    <r>
      <rPr>
        <sz val="10"/>
        <rFont val="Arial"/>
        <family val="2"/>
      </rPr>
      <t xml:space="preserve"> - </t>
    </r>
    <r>
      <rPr>
        <b/>
        <sz val="10"/>
        <rFont val="Arial"/>
        <family val="2"/>
      </rPr>
      <t>b11</t>
    </r>
    <r>
      <rPr>
        <sz val="10"/>
        <rFont val="Arial"/>
        <family val="2"/>
      </rPr>
      <t xml:space="preserve"> - </t>
    </r>
    <r>
      <rPr>
        <b/>
        <sz val="10"/>
        <rFont val="Arial"/>
        <family val="2"/>
      </rPr>
      <t>c11</t>
    </r>
    <r>
      <rPr>
        <sz val="10"/>
        <rFont val="Arial"/>
        <family val="2"/>
      </rPr>
      <t xml:space="preserve"> - d8 - </t>
    </r>
    <r>
      <rPr>
        <b/>
        <sz val="10"/>
        <rFont val="Arial"/>
        <family val="2"/>
      </rPr>
      <t>d9</t>
    </r>
    <r>
      <rPr>
        <sz val="10"/>
        <rFont val="Arial"/>
        <family val="2"/>
      </rPr>
      <t xml:space="preserve"> - d10 - e7 - </t>
    </r>
    <r>
      <rPr>
        <b/>
        <sz val="10"/>
        <rFont val="Arial"/>
        <family val="2"/>
      </rPr>
      <t>e8</t>
    </r>
    <r>
      <rPr>
        <sz val="10"/>
        <rFont val="Arial"/>
        <family val="2"/>
      </rPr>
      <t xml:space="preserve"> - e9 - f6 - </t>
    </r>
    <r>
      <rPr>
        <b/>
        <sz val="10"/>
        <rFont val="Arial"/>
        <family val="2"/>
      </rPr>
      <t>f7</t>
    </r>
    <r>
      <rPr>
        <sz val="10"/>
        <rFont val="Arial"/>
        <family val="2"/>
      </rPr>
      <t xml:space="preserve"> - f8 - g5 - </t>
    </r>
    <r>
      <rPr>
        <b/>
        <sz val="10"/>
        <rFont val="Arial"/>
        <family val="2"/>
      </rPr>
      <t>g6</t>
    </r>
    <r>
      <rPr>
        <sz val="10"/>
        <rFont val="Arial"/>
        <family val="2"/>
      </rPr>
      <t xml:space="preserve"> - h5 - </t>
    </r>
    <r>
      <rPr>
        <b/>
        <sz val="10"/>
        <rFont val="Arial"/>
        <family val="2"/>
      </rPr>
      <t>h6</t>
    </r>
    <r>
      <rPr>
        <sz val="10"/>
        <rFont val="Arial"/>
        <family val="2"/>
      </rPr>
      <t xml:space="preserve"> - </t>
    </r>
    <r>
      <rPr>
        <b/>
        <sz val="10"/>
        <rFont val="Arial"/>
        <family val="2"/>
      </rPr>
      <t>h7</t>
    </r>
    <r>
      <rPr>
        <sz val="10"/>
        <rFont val="Arial"/>
        <family val="2"/>
      </rPr>
      <t xml:space="preserve"> - h8 - </t>
    </r>
    <r>
      <rPr>
        <b/>
        <sz val="10"/>
        <rFont val="Arial"/>
        <family val="2"/>
      </rPr>
      <t>h9</t>
    </r>
    <r>
      <rPr>
        <sz val="10"/>
        <rFont val="Arial"/>
        <family val="2"/>
      </rPr>
      <t xml:space="preserve"> - </t>
    </r>
    <r>
      <rPr>
        <b/>
        <sz val="10"/>
        <rFont val="Arial"/>
        <family val="2"/>
      </rPr>
      <t>h11</t>
    </r>
    <r>
      <rPr>
        <sz val="10"/>
        <rFont val="Arial"/>
        <family val="2"/>
      </rPr>
      <t xml:space="preserve"> - js5 - </t>
    </r>
    <r>
      <rPr>
        <b/>
        <sz val="10"/>
        <rFont val="Arial"/>
        <family val="2"/>
      </rPr>
      <t>js6</t>
    </r>
    <r>
      <rPr>
        <sz val="10"/>
        <rFont val="Arial"/>
        <family val="2"/>
      </rPr>
      <t xml:space="preserve"> - js7 - k5 - </t>
    </r>
    <r>
      <rPr>
        <b/>
        <sz val="10"/>
        <rFont val="Arial"/>
        <family val="2"/>
      </rPr>
      <t>k6</t>
    </r>
    <r>
      <rPr>
        <sz val="10"/>
        <rFont val="Arial"/>
        <family val="2"/>
      </rPr>
      <t xml:space="preserve"> - k7 - m5 - m6 - m7 - n5 - </t>
    </r>
    <r>
      <rPr>
        <b/>
        <sz val="10"/>
        <rFont val="Arial"/>
        <family val="2"/>
      </rPr>
      <t>n6</t>
    </r>
    <r>
      <rPr>
        <sz val="10"/>
        <rFont val="Arial"/>
        <family val="2"/>
      </rPr>
      <t xml:space="preserve"> - n7 - p5 - </t>
    </r>
    <r>
      <rPr>
        <b/>
        <sz val="10"/>
        <rFont val="Arial"/>
        <family val="2"/>
      </rPr>
      <t>p6</t>
    </r>
    <r>
      <rPr>
        <sz val="10"/>
        <rFont val="Arial"/>
        <family val="2"/>
      </rPr>
      <t xml:space="preserve"> - p7 - r5 - </t>
    </r>
    <r>
      <rPr>
        <b/>
        <sz val="10"/>
        <rFont val="Arial"/>
        <family val="2"/>
      </rPr>
      <t>r6</t>
    </r>
    <r>
      <rPr>
        <sz val="10"/>
        <rFont val="Arial"/>
        <family val="2"/>
      </rPr>
      <t xml:space="preserve"> - r7 - s5 - </t>
    </r>
    <r>
      <rPr>
        <b/>
        <sz val="10"/>
        <rFont val="Arial"/>
        <family val="2"/>
      </rPr>
      <t>s6</t>
    </r>
    <r>
      <rPr>
        <sz val="10"/>
        <rFont val="Arial"/>
        <family val="2"/>
      </rPr>
      <t xml:space="preserve"> - s7 - t5 - t6 - t7 - u7</t>
    </r>
  </si>
  <si>
    <t>foro</t>
  </si>
  <si>
    <t>alb</t>
  </si>
  <si>
    <t>Mauro Attili</t>
  </si>
  <si>
    <t>-</t>
  </si>
  <si>
    <t>Tecnocentro eng srl</t>
  </si>
  <si>
    <t>P A N N E L L O    I M M I S S I O N E    D A T I</t>
  </si>
  <si>
    <t>P A N N E L L O    V I S U A L I Z Z A Z I O N E    R I S U L T A T I</t>
  </si>
  <si>
    <t>FORO</t>
  </si>
  <si>
    <t>COMUNE</t>
  </si>
  <si>
    <t>ALBERO</t>
  </si>
  <si>
    <t>Grado toller.</t>
  </si>
  <si>
    <t>Nota*</t>
  </si>
  <si>
    <t xml:space="preserve"> = Zona tolleranza</t>
  </si>
  <si>
    <t>F O R O</t>
  </si>
  <si>
    <t>A L B E R O</t>
  </si>
  <si>
    <t>TIPO ACCOPPIAM.</t>
  </si>
  <si>
    <t>Dimens. :</t>
  </si>
  <si>
    <t>Limite inf.:</t>
  </si>
  <si>
    <t>Limite sup.:</t>
  </si>
  <si>
    <t>Dim. Nominale</t>
  </si>
  <si>
    <t>Scostam. sup.:</t>
  </si>
  <si>
    <t>Scostam. inf.:</t>
  </si>
  <si>
    <t>Ampiezza toll.:</t>
  </si>
  <si>
    <t>Link alla sezione che tratta le tolleranze per gli accoppiamenti…</t>
  </si>
  <si>
    <t>Autore:</t>
  </si>
  <si>
    <t>Società:</t>
  </si>
  <si>
    <t>Nota*: l'ampiezza delle zone di tolleranza rappresentata graficamente, non è proporzionale alla realtà.</t>
  </si>
  <si>
    <t>In grassetto le tolleranze considerate preferenziali.</t>
  </si>
  <si>
    <t>FORO BASE</t>
  </si>
  <si>
    <t>ALBERO
BASE</t>
  </si>
  <si>
    <t>GIOCO</t>
  </si>
  <si>
    <t>INTERFERENZA</t>
  </si>
  <si>
    <t>INCERTO</t>
  </si>
  <si>
    <t>ACCOPPIAMENTI D'IMPIEGO COMUNE</t>
  </si>
  <si>
    <r>
      <t xml:space="preserve">TOLLERANZE STANDARD PER </t>
    </r>
    <r>
      <rPr>
        <b/>
        <sz val="11"/>
        <color indexed="9"/>
        <rFont val="Arial"/>
        <family val="2"/>
      </rPr>
      <t>FORI</t>
    </r>
  </si>
  <si>
    <r>
      <t xml:space="preserve">TOLLERANZE STANDARD PER </t>
    </r>
    <r>
      <rPr>
        <b/>
        <sz val="11"/>
        <color indexed="9"/>
        <rFont val="Arial"/>
        <family val="2"/>
      </rPr>
      <t>ALBERI</t>
    </r>
  </si>
  <si>
    <r>
      <t>PROPRIETA':</t>
    </r>
    <r>
      <rPr>
        <sz val="8"/>
        <color indexed="63"/>
        <rFont val="Arial"/>
        <family val="2"/>
      </rPr>
      <t xml:space="preserve">
Questo applicativo è proprietà della Tecnocentro eng srl; tale proprietà è protetta dalle leggi italiane e dalle leggi internazionali. Potete scaricare, copiare ed usare liberamente tale applicativo, senza alterare contenuti e riferimenti alla società realizzatrice.
</t>
    </r>
    <r>
      <rPr>
        <b/>
        <sz val="8"/>
        <color indexed="63"/>
        <rFont val="Arial"/>
        <family val="2"/>
      </rPr>
      <t>RESPONSABILITA':</t>
    </r>
    <r>
      <rPr>
        <sz val="8"/>
        <color indexed="63"/>
        <rFont val="Arial"/>
        <family val="2"/>
      </rPr>
      <t xml:space="preserve">
Malgrado l'attenzione posta alla realizzazione di questo applicativo, sono sempre possibili dati inesatti o errori vari, per i quali Tecnocentro eng srl declina espressamente ogni responsabilità per quanto ne possa derivare.</t>
    </r>
  </si>
  <si>
    <t>Una selezione di tolleranze per accoppiamenti di uso comune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</si>
</sst>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9" x14ac:knownFonts="1">
    <font>
      <sz val="10"/>
      <name val="Arial"/>
    </font>
    <font>
      <sz val="8"/>
      <name val="Arial"/>
      <family val="2"/>
    </font>
    <font>
      <b/>
      <sz val="10"/>
      <name val="Arial"/>
      <family val="2"/>
    </font>
    <font>
      <sz val="10"/>
      <color indexed="8"/>
      <name val="Arial"/>
      <family val="2"/>
    </font>
    <font>
      <sz val="10"/>
      <color indexed="8"/>
      <name val="Microsoft Sans Serif"/>
      <family val="2"/>
    </font>
    <font>
      <b/>
      <sz val="10"/>
      <color indexed="12"/>
      <name val="Arial"/>
      <family val="2"/>
    </font>
    <font>
      <b/>
      <sz val="10"/>
      <color indexed="12"/>
      <name val="Microsoft Sans Serif"/>
      <family val="2"/>
    </font>
    <font>
      <b/>
      <sz val="10"/>
      <color indexed="20"/>
      <name val="Arial"/>
      <family val="2"/>
    </font>
    <font>
      <sz val="10"/>
      <color indexed="57"/>
      <name val="Arial"/>
      <family val="2"/>
    </font>
    <font>
      <sz val="10"/>
      <color indexed="52"/>
      <name val="Arial"/>
      <family val="2"/>
    </font>
    <font>
      <sz val="10"/>
      <color indexed="23"/>
      <name val="Arial"/>
      <family val="2"/>
    </font>
    <font>
      <sz val="8"/>
      <color indexed="81"/>
      <name val="Tahoma"/>
      <family val="2"/>
    </font>
    <font>
      <b/>
      <sz val="8"/>
      <color indexed="81"/>
      <name val="Tahoma"/>
      <family val="2"/>
    </font>
    <font>
      <sz val="12"/>
      <name val="Arial"/>
      <family val="2"/>
    </font>
    <font>
      <sz val="9"/>
      <color indexed="10"/>
      <name val="Arial"/>
      <family val="2"/>
    </font>
    <font>
      <b/>
      <sz val="11"/>
      <name val="Arial"/>
      <family val="2"/>
    </font>
    <font>
      <b/>
      <sz val="11"/>
      <color indexed="12"/>
      <name val="Arial"/>
      <family val="2"/>
    </font>
    <font>
      <b/>
      <sz val="12"/>
      <color indexed="20"/>
      <name val="Arial"/>
      <family val="2"/>
    </font>
    <font>
      <sz val="10"/>
      <name val="Arial"/>
      <family val="2"/>
    </font>
    <font>
      <sz val="11"/>
      <color indexed="20"/>
      <name val="Arial"/>
      <family val="2"/>
    </font>
    <font>
      <b/>
      <sz val="11"/>
      <name val="Tahoma"/>
      <family val="2"/>
    </font>
    <font>
      <sz val="10"/>
      <color indexed="10"/>
      <name val="Arial"/>
      <family val="2"/>
    </font>
    <font>
      <sz val="10"/>
      <color indexed="55"/>
      <name val="Arial"/>
      <family val="2"/>
    </font>
    <font>
      <sz val="10"/>
      <color indexed="48"/>
      <name val="Arial"/>
      <family val="2"/>
    </font>
    <font>
      <sz val="8"/>
      <color indexed="10"/>
      <name val="Arial"/>
      <family val="2"/>
    </font>
    <font>
      <b/>
      <sz val="11"/>
      <color indexed="20"/>
      <name val="Arial"/>
      <family val="2"/>
    </font>
    <font>
      <sz val="9"/>
      <name val="Arial"/>
      <family val="2"/>
    </font>
    <font>
      <sz val="11"/>
      <name val="Arial"/>
      <family val="2"/>
    </font>
    <font>
      <sz val="8"/>
      <color indexed="8"/>
      <name val="Arial"/>
      <family val="2"/>
    </font>
    <font>
      <sz val="10"/>
      <color indexed="62"/>
      <name val="Arial"/>
      <family val="2"/>
    </font>
    <font>
      <u/>
      <sz val="10"/>
      <color indexed="12"/>
      <name val="Arial"/>
      <family val="2"/>
    </font>
    <font>
      <sz val="10"/>
      <color indexed="12"/>
      <name val="Arial"/>
      <family val="2"/>
    </font>
    <font>
      <b/>
      <sz val="10"/>
      <color indexed="53"/>
      <name val="Arial"/>
      <family val="2"/>
    </font>
    <font>
      <b/>
      <sz val="10"/>
      <color indexed="40"/>
      <name val="Arial"/>
      <family val="2"/>
    </font>
    <font>
      <b/>
      <sz val="10"/>
      <color indexed="11"/>
      <name val="Arial"/>
      <family val="2"/>
    </font>
    <font>
      <b/>
      <sz val="11"/>
      <color indexed="55"/>
      <name val="Arial"/>
      <family val="2"/>
    </font>
    <font>
      <b/>
      <sz val="12"/>
      <color indexed="55"/>
      <name val="Arial"/>
      <family val="2"/>
    </font>
    <font>
      <sz val="10"/>
      <color indexed="23"/>
      <name val="Arial"/>
      <family val="2"/>
    </font>
    <font>
      <b/>
      <sz val="10"/>
      <color indexed="23"/>
      <name val="Arial"/>
      <family val="2"/>
    </font>
    <font>
      <b/>
      <sz val="10"/>
      <color indexed="63"/>
      <name val="Arial"/>
      <family val="2"/>
    </font>
    <font>
      <sz val="8"/>
      <color indexed="63"/>
      <name val="Arial"/>
      <family val="2"/>
    </font>
    <font>
      <b/>
      <sz val="11"/>
      <color indexed="9"/>
      <name val="Arial"/>
      <family val="2"/>
    </font>
    <font>
      <b/>
      <sz val="10"/>
      <color indexed="9"/>
      <name val="Arial"/>
      <family val="2"/>
    </font>
    <font>
      <sz val="10"/>
      <color indexed="20"/>
      <name val="Arial"/>
      <family val="2"/>
    </font>
    <font>
      <sz val="9"/>
      <color indexed="23"/>
      <name val="Arial"/>
      <family val="2"/>
    </font>
    <font>
      <sz val="10"/>
      <color indexed="63"/>
      <name val="Arial"/>
      <family val="2"/>
    </font>
    <font>
      <b/>
      <sz val="8"/>
      <color indexed="63"/>
      <name val="Arial"/>
      <family val="2"/>
    </font>
    <font>
      <sz val="9"/>
      <color indexed="62"/>
      <name val="Arial"/>
      <family val="2"/>
    </font>
    <font>
      <b/>
      <sz val="9"/>
      <color indexed="20"/>
      <name val="Arial"/>
      <family val="2"/>
    </font>
  </fonts>
  <fills count="18">
    <fill>
      <patternFill patternType="none"/>
    </fill>
    <fill>
      <patternFill patternType="gray125"/>
    </fill>
    <fill>
      <patternFill patternType="solid">
        <fgColor indexed="27"/>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12"/>
        <bgColor indexed="64"/>
      </patternFill>
    </fill>
    <fill>
      <patternFill patternType="solid">
        <fgColor indexed="10"/>
        <bgColor indexed="64"/>
      </patternFill>
    </fill>
    <fill>
      <patternFill patternType="solid">
        <fgColor indexed="41"/>
        <bgColor indexed="64"/>
      </patternFill>
    </fill>
    <fill>
      <patternFill patternType="solid">
        <fgColor indexed="22"/>
        <bgColor indexed="64"/>
      </patternFill>
    </fill>
    <fill>
      <patternFill patternType="solid">
        <fgColor indexed="13"/>
        <bgColor indexed="64"/>
      </patternFill>
    </fill>
    <fill>
      <patternFill patternType="solid">
        <fgColor indexed="11"/>
        <bgColor indexed="64"/>
      </patternFill>
    </fill>
    <fill>
      <patternFill patternType="solid">
        <fgColor indexed="53"/>
        <bgColor indexed="64"/>
      </patternFill>
    </fill>
    <fill>
      <patternFill patternType="lightUp">
        <bgColor indexed="43"/>
      </patternFill>
    </fill>
    <fill>
      <patternFill patternType="solid">
        <fgColor indexed="48"/>
        <bgColor indexed="64"/>
      </patternFill>
    </fill>
    <fill>
      <patternFill patternType="solid">
        <fgColor indexed="45"/>
        <bgColor indexed="64"/>
      </patternFill>
    </fill>
    <fill>
      <patternFill patternType="solid">
        <fgColor indexed="15"/>
        <bgColor indexed="64"/>
      </patternFill>
    </fill>
    <fill>
      <patternFill patternType="solid">
        <fgColor indexed="40"/>
        <bgColor indexed="64"/>
      </patternFill>
    </fill>
  </fills>
  <borders count="170">
    <border>
      <left/>
      <right/>
      <top/>
      <bottom/>
      <diagonal/>
    </border>
    <border>
      <left/>
      <right/>
      <top/>
      <bottom style="medium">
        <color indexed="64"/>
      </bottom>
      <diagonal/>
    </border>
    <border>
      <left style="thin">
        <color indexed="8"/>
      </left>
      <right style="thin">
        <color indexed="8"/>
      </right>
      <top style="thin">
        <color indexed="8"/>
      </top>
      <bottom style="thin">
        <color indexed="8"/>
      </bottom>
      <diagonal/>
    </border>
    <border>
      <left style="thin">
        <color indexed="8"/>
      </left>
      <right style="thick">
        <color indexed="8"/>
      </right>
      <top style="thin">
        <color indexed="8"/>
      </top>
      <bottom style="thin">
        <color indexed="8"/>
      </bottom>
      <diagonal/>
    </border>
    <border>
      <left style="thin">
        <color indexed="8"/>
      </left>
      <right style="thin">
        <color indexed="8"/>
      </right>
      <top/>
      <bottom style="thin">
        <color indexed="8"/>
      </bottom>
      <diagonal/>
    </border>
    <border>
      <left style="thick">
        <color indexed="8"/>
      </left>
      <right style="thin">
        <color indexed="8"/>
      </right>
      <top/>
      <bottom style="thin">
        <color indexed="8"/>
      </bottom>
      <diagonal/>
    </border>
    <border>
      <left style="thin">
        <color indexed="8"/>
      </left>
      <right style="thin">
        <color indexed="8"/>
      </right>
      <top style="thick">
        <color indexed="8"/>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8"/>
      </left>
      <right style="thin">
        <color indexed="8"/>
      </right>
      <top style="thin">
        <color indexed="8"/>
      </top>
      <bottom style="thick">
        <color indexed="8"/>
      </bottom>
      <diagonal/>
    </border>
    <border>
      <left style="thin">
        <color indexed="8"/>
      </left>
      <right style="thick">
        <color indexed="8"/>
      </right>
      <top style="thin">
        <color indexed="8"/>
      </top>
      <bottom style="thick">
        <color indexed="8"/>
      </bottom>
      <diagonal/>
    </border>
    <border>
      <left style="thin">
        <color indexed="8"/>
      </left>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thin">
        <color indexed="64"/>
      </left>
      <right/>
      <top/>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medium">
        <color indexed="8"/>
      </left>
      <right style="thin">
        <color indexed="8"/>
      </right>
      <top style="thin">
        <color indexed="8"/>
      </top>
      <bottom/>
      <diagonal/>
    </border>
    <border>
      <left style="thin">
        <color indexed="8"/>
      </left>
      <right style="thick">
        <color indexed="8"/>
      </right>
      <top style="thin">
        <color indexed="8"/>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ck">
        <color indexed="8"/>
      </left>
      <right style="thin">
        <color indexed="8"/>
      </right>
      <top/>
      <bottom/>
      <diagonal/>
    </border>
    <border>
      <left style="thin">
        <color indexed="8"/>
      </left>
      <right style="thin">
        <color indexed="8"/>
      </right>
      <top/>
      <bottom/>
      <diagonal/>
    </border>
    <border>
      <left style="thick">
        <color indexed="8"/>
      </left>
      <right style="thin">
        <color indexed="8"/>
      </right>
      <top style="thin">
        <color indexed="8"/>
      </top>
      <bottom style="thin">
        <color indexed="8"/>
      </bottom>
      <diagonal/>
    </border>
    <border>
      <left style="thick">
        <color indexed="8"/>
      </left>
      <right style="thick">
        <color indexed="8"/>
      </right>
      <top/>
      <bottom/>
      <diagonal/>
    </border>
    <border>
      <left style="thick">
        <color indexed="8"/>
      </left>
      <right style="thin">
        <color indexed="8"/>
      </right>
      <top style="thin">
        <color indexed="8"/>
      </top>
      <bottom style="thick">
        <color indexed="8"/>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8"/>
      </left>
      <right style="thin">
        <color indexed="8"/>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ck">
        <color indexed="8"/>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thick">
        <color indexed="8"/>
      </right>
      <top style="thin">
        <color indexed="8"/>
      </top>
      <bottom style="medium">
        <color indexed="64"/>
      </bottom>
      <diagonal/>
    </border>
    <border>
      <left style="thin">
        <color indexed="8"/>
      </left>
      <right style="thin">
        <color indexed="8"/>
      </right>
      <top style="thin">
        <color indexed="8"/>
      </top>
      <bottom style="thin">
        <color indexed="64"/>
      </bottom>
      <diagonal/>
    </border>
    <border>
      <left style="thick">
        <color indexed="8"/>
      </left>
      <right/>
      <top/>
      <bottom/>
      <diagonal/>
    </border>
    <border>
      <left style="medium">
        <color indexed="64"/>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ck">
        <color indexed="12"/>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style="thin">
        <color indexed="64"/>
      </left>
      <right/>
      <top/>
      <bottom style="thick">
        <color indexed="12"/>
      </bottom>
      <diagonal/>
    </border>
    <border>
      <left/>
      <right style="thin">
        <color indexed="64"/>
      </right>
      <top/>
      <bottom style="thick">
        <color indexed="12"/>
      </bottom>
      <diagonal/>
    </border>
    <border>
      <left/>
      <right style="thin">
        <color indexed="64"/>
      </right>
      <top style="thick">
        <color indexed="12"/>
      </top>
      <bottom/>
      <diagonal/>
    </border>
    <border>
      <left style="thin">
        <color indexed="64"/>
      </left>
      <right/>
      <top style="thick">
        <color indexed="12"/>
      </top>
      <bottom/>
      <diagonal/>
    </border>
    <border>
      <left/>
      <right/>
      <top style="thick">
        <color indexed="12"/>
      </top>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ck">
        <color indexed="12"/>
      </left>
      <right/>
      <top style="thick">
        <color indexed="12"/>
      </top>
      <bottom/>
      <diagonal/>
    </border>
    <border>
      <left/>
      <right style="thick">
        <color indexed="12"/>
      </right>
      <top style="thick">
        <color indexed="12"/>
      </top>
      <bottom/>
      <diagonal/>
    </border>
    <border>
      <left style="thick">
        <color indexed="12"/>
      </left>
      <right/>
      <top/>
      <bottom/>
      <diagonal/>
    </border>
    <border>
      <left/>
      <right style="thick">
        <color indexed="12"/>
      </right>
      <top/>
      <bottom/>
      <diagonal/>
    </border>
    <border>
      <left style="thick">
        <color indexed="12"/>
      </left>
      <right style="thin">
        <color indexed="64"/>
      </right>
      <top style="thin">
        <color indexed="64"/>
      </top>
      <bottom style="thin">
        <color indexed="64"/>
      </bottom>
      <diagonal/>
    </border>
    <border>
      <left/>
      <right style="thick">
        <color indexed="12"/>
      </right>
      <top/>
      <bottom style="medium">
        <color indexed="64"/>
      </bottom>
      <diagonal/>
    </border>
    <border>
      <left style="thick">
        <color indexed="12"/>
      </left>
      <right/>
      <top/>
      <bottom style="thick">
        <color indexed="12"/>
      </bottom>
      <diagonal/>
    </border>
    <border>
      <left/>
      <right style="thick">
        <color indexed="12"/>
      </right>
      <top/>
      <bottom style="thick">
        <color indexed="12"/>
      </bottom>
      <diagonal/>
    </border>
    <border>
      <left style="thick">
        <color indexed="12"/>
      </left>
      <right style="thin">
        <color indexed="64"/>
      </right>
      <top style="thin">
        <color indexed="64"/>
      </top>
      <bottom style="medium">
        <color indexed="64"/>
      </bottom>
      <diagonal/>
    </border>
    <border>
      <left style="thick">
        <color indexed="12"/>
      </left>
      <right/>
      <top/>
      <bottom style="medium">
        <color indexed="64"/>
      </bottom>
      <diagonal/>
    </border>
    <border>
      <left style="medium">
        <color indexed="64"/>
      </left>
      <right/>
      <top style="dashDot">
        <color indexed="64"/>
      </top>
      <bottom/>
      <diagonal/>
    </border>
    <border>
      <left/>
      <right/>
      <top style="dashDot">
        <color indexed="64"/>
      </top>
      <bottom/>
      <diagonal/>
    </border>
    <border>
      <left/>
      <right style="medium">
        <color indexed="64"/>
      </right>
      <top style="dashDot">
        <color indexed="64"/>
      </top>
      <bottom/>
      <diagonal/>
    </border>
    <border>
      <left style="thin">
        <color indexed="23"/>
      </left>
      <right/>
      <top style="thin">
        <color indexed="23"/>
      </top>
      <bottom/>
      <diagonal/>
    </border>
    <border>
      <left/>
      <right style="thin">
        <color indexed="23"/>
      </right>
      <top style="thin">
        <color indexed="23"/>
      </top>
      <bottom/>
      <diagonal/>
    </border>
    <border>
      <left style="thin">
        <color indexed="23"/>
      </left>
      <right/>
      <top/>
      <bottom/>
      <diagonal/>
    </border>
    <border>
      <left/>
      <right style="thin">
        <color indexed="23"/>
      </right>
      <top/>
      <bottom/>
      <diagonal/>
    </border>
    <border>
      <left/>
      <right style="dashDot">
        <color indexed="64"/>
      </right>
      <top style="medium">
        <color indexed="64"/>
      </top>
      <bottom/>
      <diagonal/>
    </border>
    <border>
      <left/>
      <right style="dashDot">
        <color indexed="64"/>
      </right>
      <top/>
      <bottom/>
      <diagonal/>
    </border>
    <border>
      <left style="thick">
        <color indexed="64"/>
      </left>
      <right/>
      <top/>
      <bottom/>
      <diagonal/>
    </border>
    <border>
      <left/>
      <right style="thick">
        <color indexed="64"/>
      </right>
      <top/>
      <bottom/>
      <diagonal/>
    </border>
    <border>
      <left style="thick">
        <color indexed="64"/>
      </left>
      <right style="thin">
        <color indexed="64"/>
      </right>
      <top style="medium">
        <color indexed="64"/>
      </top>
      <bottom style="thin">
        <color indexed="64"/>
      </bottom>
      <diagonal/>
    </border>
    <border>
      <left style="thin">
        <color indexed="64"/>
      </left>
      <right style="thick">
        <color indexed="64"/>
      </right>
      <top style="medium">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medium">
        <color indexed="64"/>
      </bottom>
      <diagonal/>
    </border>
    <border>
      <left/>
      <right style="dashDot">
        <color indexed="64"/>
      </right>
      <top/>
      <bottom style="medium">
        <color indexed="64"/>
      </bottom>
      <diagonal/>
    </border>
    <border>
      <left style="medium">
        <color indexed="64"/>
      </left>
      <right/>
      <top/>
      <bottom style="dashDot">
        <color indexed="64"/>
      </bottom>
      <diagonal/>
    </border>
    <border>
      <left/>
      <right/>
      <top/>
      <bottom style="dashDot">
        <color indexed="64"/>
      </bottom>
      <diagonal/>
    </border>
    <border>
      <left/>
      <right style="medium">
        <color indexed="64"/>
      </right>
      <top/>
      <bottom style="dashDot">
        <color indexed="64"/>
      </bottom>
      <diagonal/>
    </border>
    <border>
      <left/>
      <right/>
      <top/>
      <bottom style="thin">
        <color indexed="64"/>
      </bottom>
      <diagonal/>
    </border>
    <border>
      <left style="thin">
        <color indexed="23"/>
      </left>
      <right/>
      <top/>
      <bottom style="thin">
        <color indexed="23"/>
      </bottom>
      <diagonal/>
    </border>
    <border>
      <left/>
      <right/>
      <top/>
      <bottom style="thin">
        <color indexed="23"/>
      </bottom>
      <diagonal/>
    </border>
    <border>
      <left/>
      <right style="thin">
        <color indexed="23"/>
      </right>
      <top/>
      <bottom style="thin">
        <color indexed="23"/>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bottom style="medium">
        <color indexed="64"/>
      </bottom>
      <diagonal/>
    </border>
    <border>
      <left/>
      <right/>
      <top style="thin">
        <color indexed="62"/>
      </top>
      <bottom style="thin">
        <color indexed="62"/>
      </bottom>
      <diagonal/>
    </border>
    <border>
      <left/>
      <right style="thin">
        <color indexed="62"/>
      </right>
      <top style="thin">
        <color indexed="62"/>
      </top>
      <bottom style="thin">
        <color indexed="62"/>
      </bottom>
      <diagonal/>
    </border>
    <border>
      <left/>
      <right style="thin">
        <color indexed="18"/>
      </right>
      <top style="thin">
        <color indexed="18"/>
      </top>
      <bottom style="thin">
        <color indexed="18"/>
      </bottom>
      <diagonal/>
    </border>
    <border>
      <left/>
      <right style="thin">
        <color indexed="16"/>
      </right>
      <top style="thin">
        <color indexed="16"/>
      </top>
      <bottom style="thin">
        <color indexed="16"/>
      </bottom>
      <diagonal/>
    </border>
    <border>
      <left style="thin">
        <color indexed="49"/>
      </left>
      <right/>
      <top style="thin">
        <color indexed="49"/>
      </top>
      <bottom style="thin">
        <color indexed="49"/>
      </bottom>
      <diagonal/>
    </border>
    <border>
      <left/>
      <right style="thin">
        <color indexed="49"/>
      </right>
      <top style="thin">
        <color indexed="49"/>
      </top>
      <bottom style="thin">
        <color indexed="49"/>
      </bottom>
      <diagonal/>
    </border>
    <border>
      <left/>
      <right/>
      <top style="thin">
        <color indexed="49"/>
      </top>
      <bottom style="thin">
        <color indexed="49"/>
      </bottom>
      <diagonal/>
    </border>
    <border>
      <left/>
      <right style="thin">
        <color indexed="49"/>
      </right>
      <top/>
      <bottom/>
      <diagonal/>
    </border>
    <border>
      <left style="thin">
        <color indexed="49"/>
      </left>
      <right/>
      <top/>
      <bottom style="thin">
        <color indexed="49"/>
      </bottom>
      <diagonal/>
    </border>
    <border>
      <left style="thin">
        <color indexed="49"/>
      </left>
      <right/>
      <top/>
      <bottom/>
      <diagonal/>
    </border>
    <border>
      <left style="thin">
        <color indexed="49"/>
      </left>
      <right/>
      <top style="thin">
        <color indexed="49"/>
      </top>
      <bottom/>
      <diagonal/>
    </border>
    <border>
      <left/>
      <right/>
      <top style="thin">
        <color indexed="49"/>
      </top>
      <bottom/>
      <diagonal/>
    </border>
    <border>
      <left/>
      <right style="thin">
        <color indexed="49"/>
      </right>
      <top style="thin">
        <color indexed="49"/>
      </top>
      <bottom/>
      <diagonal/>
    </border>
    <border>
      <left/>
      <right/>
      <top/>
      <bottom style="thin">
        <color indexed="49"/>
      </bottom>
      <diagonal/>
    </border>
    <border>
      <left/>
      <right style="thin">
        <color indexed="49"/>
      </right>
      <top/>
      <bottom style="thin">
        <color indexed="49"/>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right/>
      <top style="thin">
        <color indexed="18"/>
      </top>
      <bottom style="thin">
        <color indexed="18"/>
      </bottom>
      <diagonal/>
    </border>
    <border>
      <left style="thin">
        <color indexed="16"/>
      </left>
      <right/>
      <top style="thin">
        <color indexed="16"/>
      </top>
      <bottom style="thin">
        <color indexed="16"/>
      </bottom>
      <diagonal/>
    </border>
    <border>
      <left/>
      <right/>
      <top style="thin">
        <color indexed="16"/>
      </top>
      <bottom style="thin">
        <color indexed="16"/>
      </bottom>
      <diagonal/>
    </border>
    <border>
      <left/>
      <right/>
      <top style="thin">
        <color indexed="64"/>
      </top>
      <bottom/>
      <diagonal/>
    </border>
    <border>
      <left/>
      <right style="thick">
        <color indexed="64"/>
      </right>
      <top style="thin">
        <color indexed="64"/>
      </top>
      <bottom/>
      <diagonal/>
    </border>
    <border>
      <left/>
      <right style="thick">
        <color indexed="64"/>
      </right>
      <top/>
      <bottom style="medium">
        <color indexed="64"/>
      </bottom>
      <diagonal/>
    </border>
    <border>
      <left/>
      <right style="thick">
        <color indexed="64"/>
      </right>
      <top style="medium">
        <color indexed="64"/>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23"/>
      </top>
      <bottom/>
      <diagonal/>
    </border>
    <border>
      <left/>
      <right/>
      <top style="thin">
        <color indexed="64"/>
      </top>
      <bottom style="thin">
        <color indexed="64"/>
      </bottom>
      <diagonal/>
    </border>
    <border>
      <left style="thin">
        <color indexed="62"/>
      </left>
      <right/>
      <top style="thin">
        <color indexed="62"/>
      </top>
      <bottom style="thin">
        <color indexed="62"/>
      </bottom>
      <diagonal/>
    </border>
    <border>
      <left style="thin">
        <color indexed="18"/>
      </left>
      <right/>
      <top style="thin">
        <color indexed="18"/>
      </top>
      <bottom style="thin">
        <color indexed="18"/>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medium">
        <color indexed="8"/>
      </left>
      <right/>
      <top style="thick">
        <color indexed="8"/>
      </top>
      <bottom style="thin">
        <color indexed="8"/>
      </bottom>
      <diagonal/>
    </border>
    <border>
      <left/>
      <right/>
      <top style="thick">
        <color indexed="8"/>
      </top>
      <bottom style="thin">
        <color indexed="8"/>
      </bottom>
      <diagonal/>
    </border>
    <border>
      <left/>
      <right style="thick">
        <color indexed="8"/>
      </right>
      <top style="thick">
        <color indexed="8"/>
      </top>
      <bottom style="thin">
        <color indexed="8"/>
      </bottom>
      <diagonal/>
    </border>
    <border>
      <left style="thick">
        <color indexed="8"/>
      </left>
      <right style="thin">
        <color indexed="8"/>
      </right>
      <top style="thick">
        <color indexed="8"/>
      </top>
      <bottom/>
      <diagonal/>
    </border>
    <border>
      <left style="thin">
        <color indexed="8"/>
      </left>
      <right/>
      <top style="thick">
        <color indexed="8"/>
      </top>
      <bottom style="thin">
        <color indexed="8"/>
      </bottom>
      <diagonal/>
    </border>
    <border>
      <left/>
      <right style="thin">
        <color indexed="8"/>
      </right>
      <top style="thick">
        <color indexed="8"/>
      </top>
      <bottom style="thin">
        <color indexed="8"/>
      </bottom>
      <diagonal/>
    </border>
    <border>
      <left style="medium">
        <color indexed="64"/>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thin">
        <color indexed="64"/>
      </left>
      <right style="thin">
        <color indexed="64"/>
      </right>
      <top/>
      <bottom style="thick">
        <color indexed="12"/>
      </bottom>
      <diagonal/>
    </border>
    <border>
      <left style="thin">
        <color indexed="64"/>
      </left>
      <right style="thin">
        <color indexed="64"/>
      </right>
      <top style="thick">
        <color indexed="12"/>
      </top>
      <bottom/>
      <diagonal/>
    </border>
    <border>
      <left style="thick">
        <color indexed="8"/>
      </left>
      <right style="thin">
        <color indexed="8"/>
      </right>
      <top style="thick">
        <color indexed="8"/>
      </top>
      <bottom style="thin">
        <color indexed="8"/>
      </bottom>
      <diagonal/>
    </border>
    <border>
      <left style="thin">
        <color indexed="8"/>
      </left>
      <right style="thin">
        <color indexed="8"/>
      </right>
      <top style="thick">
        <color indexed="8"/>
      </top>
      <bottom style="thin">
        <color indexed="8"/>
      </bottom>
      <diagonal/>
    </border>
    <border>
      <left style="thin">
        <color indexed="8"/>
      </left>
      <right style="thick">
        <color indexed="8"/>
      </right>
      <top style="thick">
        <color indexed="8"/>
      </top>
      <bottom style="thin">
        <color indexed="8"/>
      </bottom>
      <diagonal/>
    </border>
  </borders>
  <cellStyleXfs count="2">
    <xf numFmtId="0" fontId="0" fillId="0" borderId="0"/>
    <xf numFmtId="0" fontId="30" fillId="0" borderId="0" applyNumberFormat="0" applyFill="0" applyBorder="0" applyAlignment="0" applyProtection="0">
      <alignment vertical="top"/>
      <protection locked="0"/>
    </xf>
  </cellStyleXfs>
  <cellXfs count="454">
    <xf numFmtId="0" fontId="0" fillId="0" borderId="0" xfId="0"/>
    <xf numFmtId="0" fontId="0" fillId="0" borderId="1" xfId="0" applyBorder="1"/>
    <xf numFmtId="0" fontId="4" fillId="2" borderId="2" xfId="0" applyFont="1" applyFill="1" applyBorder="1" applyAlignment="1">
      <alignment horizontal="center" wrapText="1"/>
    </xf>
    <xf numFmtId="0" fontId="3" fillId="3" borderId="2" xfId="0" applyFont="1" applyFill="1" applyBorder="1" applyAlignment="1">
      <alignment horizontal="left" wrapText="1"/>
    </xf>
    <xf numFmtId="0" fontId="4" fillId="2" borderId="3" xfId="0" applyFont="1" applyFill="1" applyBorder="1" applyAlignment="1">
      <alignment horizontal="center" wrapText="1"/>
    </xf>
    <xf numFmtId="0" fontId="3" fillId="3" borderId="3" xfId="0" applyFont="1" applyFill="1" applyBorder="1" applyAlignment="1">
      <alignment horizontal="left" wrapText="1"/>
    </xf>
    <xf numFmtId="0" fontId="4" fillId="2" borderId="4" xfId="0" applyFont="1" applyFill="1" applyBorder="1" applyAlignment="1">
      <alignment horizontal="center" wrapText="1"/>
    </xf>
    <xf numFmtId="0" fontId="4" fillId="2" borderId="5" xfId="0" applyFont="1" applyFill="1" applyBorder="1" applyAlignment="1">
      <alignment horizontal="center" wrapText="1"/>
    </xf>
    <xf numFmtId="0" fontId="4" fillId="2" borderId="6" xfId="0" applyFont="1" applyFill="1" applyBorder="1" applyAlignment="1">
      <alignment horizontal="center" wrapText="1"/>
    </xf>
    <xf numFmtId="0" fontId="3" fillId="4" borderId="7" xfId="0" applyFont="1" applyFill="1" applyBorder="1" applyAlignment="1">
      <alignment horizontal="center" wrapText="1"/>
    </xf>
    <xf numFmtId="0" fontId="6" fillId="4" borderId="7" xfId="0" applyFont="1" applyFill="1" applyBorder="1" applyAlignment="1">
      <alignment horizontal="center" wrapText="1"/>
    </xf>
    <xf numFmtId="0" fontId="6" fillId="4" borderId="8" xfId="0" applyFont="1" applyFill="1" applyBorder="1" applyAlignment="1">
      <alignment horizontal="center" wrapText="1"/>
    </xf>
    <xf numFmtId="0" fontId="3" fillId="4" borderId="9" xfId="0" applyFont="1" applyFill="1" applyBorder="1" applyAlignment="1">
      <alignment horizontal="center" wrapText="1"/>
    </xf>
    <xf numFmtId="0" fontId="6" fillId="4" borderId="9" xfId="0" applyFont="1" applyFill="1" applyBorder="1" applyAlignment="1">
      <alignment horizontal="center" wrapText="1"/>
    </xf>
    <xf numFmtId="0" fontId="6" fillId="4" borderId="10" xfId="0" applyFont="1" applyFill="1" applyBorder="1" applyAlignment="1">
      <alignment horizontal="center" wrapText="1"/>
    </xf>
    <xf numFmtId="0" fontId="5" fillId="5" borderId="9" xfId="0" applyFont="1" applyFill="1" applyBorder="1" applyAlignment="1">
      <alignment horizontal="center" wrapText="1"/>
    </xf>
    <xf numFmtId="0" fontId="5" fillId="5" borderId="11" xfId="0" applyFont="1" applyFill="1" applyBorder="1" applyAlignment="1">
      <alignment horizontal="center" wrapText="1"/>
    </xf>
    <xf numFmtId="0" fontId="4" fillId="5" borderId="9" xfId="0" applyFont="1" applyFill="1" applyBorder="1" applyAlignment="1">
      <alignment horizontal="center" wrapText="1"/>
    </xf>
    <xf numFmtId="0" fontId="4" fillId="5" borderId="11" xfId="0" applyFont="1" applyFill="1" applyBorder="1" applyAlignment="1">
      <alignment horizontal="center" wrapText="1"/>
    </xf>
    <xf numFmtId="0" fontId="4" fillId="5" borderId="10" xfId="0" applyFont="1" applyFill="1" applyBorder="1" applyAlignment="1">
      <alignment horizontal="center" wrapText="1"/>
    </xf>
    <xf numFmtId="0" fontId="4" fillId="5" borderId="12" xfId="0" applyFont="1" applyFill="1" applyBorder="1" applyAlignment="1">
      <alignment horizontal="center" wrapText="1"/>
    </xf>
    <xf numFmtId="0" fontId="0" fillId="0" borderId="0" xfId="0" applyAlignment="1">
      <alignment horizontal="center"/>
    </xf>
    <xf numFmtId="0" fontId="2" fillId="0" borderId="9" xfId="0" applyFont="1" applyBorder="1" applyAlignment="1">
      <alignment horizontal="center"/>
    </xf>
    <xf numFmtId="0" fontId="8" fillId="0" borderId="0" xfId="0" applyFont="1"/>
    <xf numFmtId="0" fontId="8" fillId="0" borderId="0" xfId="0" applyFont="1" applyAlignment="1">
      <alignment horizontal="center"/>
    </xf>
    <xf numFmtId="0" fontId="9" fillId="0" borderId="0" xfId="0" applyFont="1" applyAlignment="1">
      <alignment horizontal="center"/>
    </xf>
    <xf numFmtId="0" fontId="3" fillId="3" borderId="13" xfId="0" applyFont="1" applyFill="1" applyBorder="1" applyAlignment="1">
      <alignment horizontal="left" wrapText="1"/>
    </xf>
    <xf numFmtId="0" fontId="3" fillId="3" borderId="14" xfId="0" applyFont="1" applyFill="1" applyBorder="1" applyAlignment="1">
      <alignment horizontal="left" wrapText="1"/>
    </xf>
    <xf numFmtId="0" fontId="4" fillId="2" borderId="15" xfId="0" applyFont="1" applyFill="1" applyBorder="1" applyAlignment="1">
      <alignment horizontal="center" wrapText="1"/>
    </xf>
    <xf numFmtId="0" fontId="4" fillId="2" borderId="16" xfId="0" applyFont="1" applyFill="1" applyBorder="1" applyAlignment="1">
      <alignment horizontal="center" wrapText="1"/>
    </xf>
    <xf numFmtId="0" fontId="0" fillId="0" borderId="17" xfId="0" applyBorder="1"/>
    <xf numFmtId="0" fontId="1" fillId="0" borderId="0" xfId="0" applyFont="1" applyAlignment="1">
      <alignment horizontal="center"/>
    </xf>
    <xf numFmtId="0" fontId="4" fillId="2" borderId="18" xfId="0" applyFont="1" applyFill="1" applyBorder="1" applyAlignment="1">
      <alignment horizontal="center" wrapText="1"/>
    </xf>
    <xf numFmtId="0" fontId="4" fillId="2" borderId="18" xfId="0" quotePrefix="1" applyFont="1" applyFill="1" applyBorder="1" applyAlignment="1">
      <alignment horizontal="center" wrapText="1"/>
    </xf>
    <xf numFmtId="0" fontId="4" fillId="2" borderId="19" xfId="0" applyFont="1" applyFill="1" applyBorder="1" applyAlignment="1">
      <alignment horizontal="center" wrapText="1"/>
    </xf>
    <xf numFmtId="0" fontId="4" fillId="2" borderId="20" xfId="0" applyFont="1" applyFill="1" applyBorder="1" applyAlignment="1">
      <alignment horizontal="center" wrapText="1"/>
    </xf>
    <xf numFmtId="0" fontId="4" fillId="2" borderId="21" xfId="0" applyFont="1" applyFill="1" applyBorder="1" applyAlignment="1">
      <alignment horizontal="center" wrapText="1"/>
    </xf>
    <xf numFmtId="0" fontId="3" fillId="3" borderId="9" xfId="0" applyFont="1" applyFill="1" applyBorder="1" applyAlignment="1">
      <alignment horizontal="left" wrapText="1"/>
    </xf>
    <xf numFmtId="0" fontId="3" fillId="3" borderId="22" xfId="0" applyFont="1" applyFill="1" applyBorder="1" applyAlignment="1">
      <alignment horizontal="left" wrapText="1"/>
    </xf>
    <xf numFmtId="0" fontId="3" fillId="3" borderId="23" xfId="0" applyFont="1" applyFill="1" applyBorder="1" applyAlignment="1">
      <alignment horizontal="left" wrapText="1"/>
    </xf>
    <xf numFmtId="0" fontId="10" fillId="3" borderId="23" xfId="0" applyFont="1" applyFill="1" applyBorder="1" applyAlignment="1">
      <alignment horizontal="center" wrapText="1"/>
    </xf>
    <xf numFmtId="0" fontId="3" fillId="3" borderId="24" xfId="0" applyFont="1" applyFill="1" applyBorder="1" applyAlignment="1">
      <alignment horizontal="left" wrapText="1"/>
    </xf>
    <xf numFmtId="0" fontId="3" fillId="3" borderId="7" xfId="0" applyFont="1" applyFill="1" applyBorder="1" applyAlignment="1">
      <alignment horizontal="left" wrapText="1"/>
    </xf>
    <xf numFmtId="0" fontId="3" fillId="3" borderId="11" xfId="0" applyFont="1" applyFill="1" applyBorder="1" applyAlignment="1">
      <alignment horizontal="left" wrapText="1"/>
    </xf>
    <xf numFmtId="0" fontId="3" fillId="3" borderId="8" xfId="0" applyFont="1" applyFill="1" applyBorder="1" applyAlignment="1">
      <alignment horizontal="left" wrapText="1"/>
    </xf>
    <xf numFmtId="0" fontId="3" fillId="3" borderId="10" xfId="0" applyFont="1" applyFill="1" applyBorder="1" applyAlignment="1">
      <alignment horizontal="left" wrapText="1"/>
    </xf>
    <xf numFmtId="0" fontId="3" fillId="3" borderId="12" xfId="0" applyFont="1" applyFill="1" applyBorder="1" applyAlignment="1">
      <alignment horizontal="left" wrapText="1"/>
    </xf>
    <xf numFmtId="0" fontId="4" fillId="2" borderId="25" xfId="0" applyFont="1" applyFill="1" applyBorder="1" applyAlignment="1">
      <alignment horizontal="center" wrapText="1"/>
    </xf>
    <xf numFmtId="0" fontId="4" fillId="2" borderId="26" xfId="0" applyFont="1" applyFill="1" applyBorder="1" applyAlignment="1">
      <alignment horizontal="center" wrapText="1"/>
    </xf>
    <xf numFmtId="0" fontId="3" fillId="3" borderId="22" xfId="0" applyFont="1" applyFill="1" applyBorder="1" applyAlignment="1">
      <alignment horizontal="center" wrapText="1"/>
    </xf>
    <xf numFmtId="0" fontId="3" fillId="3" borderId="24" xfId="0" applyFont="1" applyFill="1" applyBorder="1" applyAlignment="1">
      <alignment horizontal="center" wrapText="1"/>
    </xf>
    <xf numFmtId="0" fontId="3" fillId="3" borderId="7" xfId="0" applyFont="1" applyFill="1" applyBorder="1" applyAlignment="1">
      <alignment horizontal="center" wrapText="1"/>
    </xf>
    <xf numFmtId="0" fontId="3" fillId="3" borderId="11" xfId="0" applyFont="1" applyFill="1" applyBorder="1" applyAlignment="1">
      <alignment horizontal="center" wrapText="1"/>
    </xf>
    <xf numFmtId="0" fontId="3" fillId="3" borderId="8" xfId="0" applyFont="1" applyFill="1" applyBorder="1" applyAlignment="1">
      <alignment horizontal="center" wrapText="1"/>
    </xf>
    <xf numFmtId="0" fontId="3" fillId="3" borderId="12" xfId="0" applyFont="1" applyFill="1" applyBorder="1" applyAlignment="1">
      <alignment horizontal="center" wrapText="1"/>
    </xf>
    <xf numFmtId="0" fontId="3" fillId="3" borderId="27" xfId="0" applyFont="1" applyFill="1" applyBorder="1" applyAlignment="1">
      <alignment horizontal="left" wrapText="1"/>
    </xf>
    <xf numFmtId="0" fontId="4" fillId="2" borderId="27" xfId="0" applyFont="1" applyFill="1" applyBorder="1" applyAlignment="1">
      <alignment horizontal="center" wrapText="1"/>
    </xf>
    <xf numFmtId="0" fontId="4" fillId="0" borderId="28" xfId="0" applyFont="1" applyBorder="1" applyAlignment="1">
      <alignment horizontal="center" wrapText="1"/>
    </xf>
    <xf numFmtId="0" fontId="3" fillId="0" borderId="28" xfId="0" applyFont="1" applyBorder="1" applyAlignment="1">
      <alignment horizontal="left" wrapText="1"/>
    </xf>
    <xf numFmtId="0" fontId="3" fillId="3" borderId="29" xfId="0" applyFont="1" applyFill="1" applyBorder="1" applyAlignment="1">
      <alignment horizontal="left" wrapText="1"/>
    </xf>
    <xf numFmtId="0" fontId="21" fillId="0" borderId="0" xfId="0" applyFont="1"/>
    <xf numFmtId="0" fontId="10" fillId="3" borderId="30" xfId="0" applyFont="1" applyFill="1" applyBorder="1" applyAlignment="1">
      <alignment horizontal="center" wrapText="1"/>
    </xf>
    <xf numFmtId="0" fontId="3" fillId="3" borderId="31" xfId="0" applyFont="1" applyFill="1" applyBorder="1" applyAlignment="1">
      <alignment horizontal="left" wrapText="1"/>
    </xf>
    <xf numFmtId="0" fontId="3" fillId="3" borderId="32" xfId="0" applyFont="1" applyFill="1" applyBorder="1" applyAlignment="1">
      <alignment horizontal="left" wrapText="1"/>
    </xf>
    <xf numFmtId="0" fontId="3" fillId="3" borderId="33" xfId="0" applyFont="1" applyFill="1" applyBorder="1" applyAlignment="1">
      <alignment horizontal="center" wrapText="1"/>
    </xf>
    <xf numFmtId="0" fontId="3" fillId="3" borderId="34" xfId="0" applyFont="1" applyFill="1" applyBorder="1" applyAlignment="1">
      <alignment horizontal="center" wrapText="1"/>
    </xf>
    <xf numFmtId="0" fontId="3" fillId="3" borderId="33" xfId="0" applyFont="1" applyFill="1" applyBorder="1" applyAlignment="1">
      <alignment horizontal="left" wrapText="1"/>
    </xf>
    <xf numFmtId="0" fontId="3" fillId="3" borderId="35" xfId="0" applyFont="1" applyFill="1" applyBorder="1" applyAlignment="1">
      <alignment horizontal="left" wrapText="1"/>
    </xf>
    <xf numFmtId="0" fontId="3" fillId="3" borderId="36" xfId="0" applyFont="1" applyFill="1" applyBorder="1" applyAlignment="1">
      <alignment horizontal="left" wrapText="1"/>
    </xf>
    <xf numFmtId="0" fontId="3" fillId="3" borderId="37" xfId="0" applyFont="1" applyFill="1" applyBorder="1" applyAlignment="1">
      <alignment horizontal="left" wrapText="1"/>
    </xf>
    <xf numFmtId="0" fontId="3" fillId="3" borderId="4" xfId="0" applyFont="1" applyFill="1" applyBorder="1" applyAlignment="1">
      <alignment horizontal="left" wrapText="1"/>
    </xf>
    <xf numFmtId="0" fontId="4" fillId="2" borderId="38" xfId="0" applyFont="1" applyFill="1" applyBorder="1" applyAlignment="1">
      <alignment horizontal="center" wrapText="1"/>
    </xf>
    <xf numFmtId="0" fontId="3" fillId="3" borderId="27" xfId="0" applyFont="1" applyFill="1" applyBorder="1" applyAlignment="1">
      <alignment horizontal="center" wrapText="1"/>
    </xf>
    <xf numFmtId="0" fontId="3" fillId="3" borderId="2" xfId="0" applyFont="1" applyFill="1" applyBorder="1" applyAlignment="1">
      <alignment horizontal="center" wrapText="1"/>
    </xf>
    <xf numFmtId="0" fontId="3" fillId="3" borderId="35" xfId="0" applyFont="1" applyFill="1" applyBorder="1" applyAlignment="1">
      <alignment horizontal="center" wrapText="1"/>
    </xf>
    <xf numFmtId="0" fontId="3" fillId="3" borderId="36" xfId="0" applyFont="1" applyFill="1" applyBorder="1" applyAlignment="1">
      <alignment horizontal="center" wrapText="1"/>
    </xf>
    <xf numFmtId="0" fontId="22" fillId="0" borderId="0" xfId="0" applyFont="1" applyAlignment="1">
      <alignment horizontal="center"/>
    </xf>
    <xf numFmtId="0" fontId="4" fillId="0" borderId="39" xfId="0" applyFont="1" applyBorder="1" applyAlignment="1">
      <alignment horizontal="center" wrapText="1"/>
    </xf>
    <xf numFmtId="0" fontId="3" fillId="0" borderId="39" xfId="0" applyFont="1" applyBorder="1" applyAlignment="1">
      <alignment horizontal="left" wrapText="1"/>
    </xf>
    <xf numFmtId="0" fontId="4" fillId="0" borderId="0" xfId="0" applyFont="1" applyAlignment="1">
      <alignment horizontal="center" wrapText="1"/>
    </xf>
    <xf numFmtId="0" fontId="3" fillId="0" borderId="0" xfId="0" applyFont="1" applyAlignment="1">
      <alignment horizontal="left" wrapText="1"/>
    </xf>
    <xf numFmtId="0" fontId="4" fillId="2" borderId="40" xfId="0" applyFont="1" applyFill="1" applyBorder="1" applyAlignment="1">
      <alignment horizontal="center" wrapText="1"/>
    </xf>
    <xf numFmtId="0" fontId="4" fillId="2" borderId="41" xfId="0" applyFont="1" applyFill="1" applyBorder="1" applyAlignment="1">
      <alignment horizontal="center" wrapText="1"/>
    </xf>
    <xf numFmtId="0" fontId="3" fillId="3" borderId="40" xfId="0" applyFont="1" applyFill="1" applyBorder="1" applyAlignment="1">
      <alignment horizontal="left" wrapText="1"/>
    </xf>
    <xf numFmtId="0" fontId="3" fillId="3" borderId="41" xfId="0" applyFont="1" applyFill="1" applyBorder="1" applyAlignment="1">
      <alignment horizontal="left" wrapText="1"/>
    </xf>
    <xf numFmtId="0" fontId="3" fillId="3" borderId="42" xfId="0" applyFont="1" applyFill="1" applyBorder="1" applyAlignment="1">
      <alignment horizontal="left" wrapText="1"/>
    </xf>
    <xf numFmtId="0" fontId="3" fillId="3" borderId="43" xfId="0" applyFont="1" applyFill="1" applyBorder="1" applyAlignment="1">
      <alignment horizontal="left" wrapText="1"/>
    </xf>
    <xf numFmtId="0" fontId="23" fillId="0" borderId="0" xfId="0" applyFont="1"/>
    <xf numFmtId="0" fontId="23" fillId="0" borderId="0" xfId="0" applyFont="1" applyAlignment="1">
      <alignment horizontal="center"/>
    </xf>
    <xf numFmtId="0" fontId="0" fillId="6" borderId="0" xfId="0" applyFill="1"/>
    <xf numFmtId="0" fontId="24" fillId="0" borderId="0" xfId="0" applyFont="1" applyAlignment="1">
      <alignment horizontal="center"/>
    </xf>
    <xf numFmtId="0" fontId="0" fillId="6" borderId="17" xfId="0" applyFill="1" applyBorder="1"/>
    <xf numFmtId="0" fontId="0" fillId="0" borderId="44" xfId="0" applyBorder="1"/>
    <xf numFmtId="0" fontId="0" fillId="0" borderId="45" xfId="0" applyBorder="1" applyAlignment="1">
      <alignment horizontal="center" textRotation="90"/>
    </xf>
    <xf numFmtId="0" fontId="0" fillId="0" borderId="46" xfId="0" applyBorder="1" applyAlignment="1">
      <alignment horizontal="center" textRotation="90"/>
    </xf>
    <xf numFmtId="0" fontId="0" fillId="0" borderId="47" xfId="0" applyBorder="1"/>
    <xf numFmtId="0" fontId="2" fillId="0" borderId="0" xfId="0" applyFont="1"/>
    <xf numFmtId="0" fontId="1" fillId="0" borderId="17" xfId="0" applyFont="1" applyBorder="1" applyAlignment="1">
      <alignment horizontal="center"/>
    </xf>
    <xf numFmtId="0" fontId="1" fillId="0" borderId="48" xfId="0" applyFont="1" applyBorder="1" applyAlignment="1">
      <alignment horizontal="center"/>
    </xf>
    <xf numFmtId="0" fontId="1" fillId="7" borderId="0" xfId="0" applyFont="1" applyFill="1" applyAlignment="1">
      <alignment horizontal="center"/>
    </xf>
    <xf numFmtId="0" fontId="1" fillId="7" borderId="17" xfId="0" applyFont="1" applyFill="1" applyBorder="1" applyAlignment="1">
      <alignment horizontal="center"/>
    </xf>
    <xf numFmtId="0" fontId="1" fillId="7" borderId="48" xfId="0" applyFont="1" applyFill="1" applyBorder="1" applyAlignment="1">
      <alignment horizontal="center"/>
    </xf>
    <xf numFmtId="0" fontId="1" fillId="7" borderId="45" xfId="0" applyFont="1" applyFill="1" applyBorder="1" applyAlignment="1">
      <alignment horizontal="center"/>
    </xf>
    <xf numFmtId="0" fontId="1" fillId="7" borderId="49" xfId="0" applyFont="1" applyFill="1" applyBorder="1" applyAlignment="1">
      <alignment horizontal="center"/>
    </xf>
    <xf numFmtId="0" fontId="1" fillId="7" borderId="50" xfId="0" applyFont="1" applyFill="1" applyBorder="1" applyAlignment="1">
      <alignment horizontal="center"/>
    </xf>
    <xf numFmtId="0" fontId="1" fillId="7" borderId="46" xfId="0" applyFont="1" applyFill="1" applyBorder="1" applyAlignment="1">
      <alignment horizontal="center"/>
    </xf>
    <xf numFmtId="0" fontId="1" fillId="7" borderId="9" xfId="0" applyFont="1" applyFill="1" applyBorder="1" applyAlignment="1">
      <alignment horizontal="center"/>
    </xf>
    <xf numFmtId="0" fontId="1" fillId="7" borderId="31" xfId="0" applyFont="1" applyFill="1" applyBorder="1" applyAlignment="1">
      <alignment horizontal="center"/>
    </xf>
    <xf numFmtId="0" fontId="1" fillId="7" borderId="51" xfId="0" applyFont="1" applyFill="1" applyBorder="1" applyAlignment="1">
      <alignment horizontal="center"/>
    </xf>
    <xf numFmtId="0" fontId="1" fillId="7" borderId="52" xfId="0" applyFont="1" applyFill="1" applyBorder="1" applyAlignment="1">
      <alignment horizontal="center"/>
    </xf>
    <xf numFmtId="0" fontId="1" fillId="0" borderId="44" xfId="0" applyFont="1" applyBorder="1" applyAlignment="1">
      <alignment horizontal="center"/>
    </xf>
    <xf numFmtId="0" fontId="1" fillId="0" borderId="53" xfId="0" applyFont="1" applyBorder="1" applyAlignment="1">
      <alignment horizontal="center"/>
    </xf>
    <xf numFmtId="0" fontId="1" fillId="7" borderId="44" xfId="0" applyFont="1" applyFill="1" applyBorder="1" applyAlignment="1">
      <alignment horizontal="center"/>
    </xf>
    <xf numFmtId="0" fontId="1" fillId="7" borderId="10" xfId="0" applyFont="1" applyFill="1" applyBorder="1" applyAlignment="1">
      <alignment horizontal="center"/>
    </xf>
    <xf numFmtId="0" fontId="1" fillId="7" borderId="54" xfId="0" applyFont="1" applyFill="1" applyBorder="1" applyAlignment="1">
      <alignment horizontal="center"/>
    </xf>
    <xf numFmtId="0" fontId="1" fillId="7" borderId="53" xfId="0" applyFont="1" applyFill="1" applyBorder="1" applyAlignment="1">
      <alignment horizontal="center"/>
    </xf>
    <xf numFmtId="0" fontId="1" fillId="0" borderId="1" xfId="0" applyFont="1" applyBorder="1" applyAlignment="1">
      <alignment horizontal="center"/>
    </xf>
    <xf numFmtId="0" fontId="1" fillId="0" borderId="55" xfId="0" applyFont="1" applyBorder="1" applyAlignment="1">
      <alignment horizontal="center"/>
    </xf>
    <xf numFmtId="0" fontId="1" fillId="0" borderId="56" xfId="0" applyFont="1" applyBorder="1" applyAlignment="1">
      <alignment horizontal="center"/>
    </xf>
    <xf numFmtId="0" fontId="1" fillId="0" borderId="57" xfId="0" applyFont="1" applyBorder="1" applyAlignment="1">
      <alignment horizontal="center"/>
    </xf>
    <xf numFmtId="0" fontId="1" fillId="0" borderId="58" xfId="0" applyFont="1" applyBorder="1" applyAlignment="1">
      <alignment horizontal="center"/>
    </xf>
    <xf numFmtId="0" fontId="1" fillId="0" borderId="59" xfId="0" applyFont="1" applyBorder="1" applyAlignment="1">
      <alignment horizontal="center"/>
    </xf>
    <xf numFmtId="0" fontId="1" fillId="0" borderId="47" xfId="0" applyFont="1" applyBorder="1" applyAlignment="1">
      <alignment horizontal="center"/>
    </xf>
    <xf numFmtId="0" fontId="1" fillId="0" borderId="60" xfId="0" applyFont="1" applyBorder="1" applyAlignment="1">
      <alignment horizontal="center"/>
    </xf>
    <xf numFmtId="0" fontId="1" fillId="7" borderId="1" xfId="0" applyFont="1" applyFill="1" applyBorder="1" applyAlignment="1">
      <alignment horizontal="center"/>
    </xf>
    <xf numFmtId="0" fontId="1" fillId="0" borderId="50" xfId="0" applyFont="1" applyBorder="1" applyAlignment="1">
      <alignment horizontal="center"/>
    </xf>
    <xf numFmtId="0" fontId="1" fillId="0" borderId="61" xfId="0" applyFont="1" applyBorder="1" applyAlignment="1">
      <alignment horizontal="center"/>
    </xf>
    <xf numFmtId="0" fontId="1" fillId="0" borderId="62" xfId="0" applyFont="1" applyBorder="1" applyAlignment="1">
      <alignment horizontal="center"/>
    </xf>
    <xf numFmtId="0" fontId="1" fillId="7" borderId="60" xfId="0" applyFont="1" applyFill="1" applyBorder="1" applyAlignment="1">
      <alignment horizontal="center"/>
    </xf>
    <xf numFmtId="0" fontId="1" fillId="7" borderId="63" xfId="0" applyFont="1" applyFill="1" applyBorder="1" applyAlignment="1">
      <alignment horizontal="center"/>
    </xf>
    <xf numFmtId="0" fontId="24" fillId="0" borderId="1" xfId="0" applyFont="1" applyBorder="1" applyAlignment="1">
      <alignment horizontal="center"/>
    </xf>
    <xf numFmtId="0" fontId="24" fillId="0" borderId="48" xfId="0" applyFont="1" applyBorder="1" applyAlignment="1">
      <alignment horizontal="center"/>
    </xf>
    <xf numFmtId="0" fontId="1" fillId="7" borderId="59" xfId="0" applyFont="1" applyFill="1" applyBorder="1" applyAlignment="1">
      <alignment horizontal="center"/>
    </xf>
    <xf numFmtId="0" fontId="1" fillId="7" borderId="47" xfId="0" applyFont="1" applyFill="1" applyBorder="1" applyAlignment="1">
      <alignment horizontal="center"/>
    </xf>
    <xf numFmtId="0" fontId="0" fillId="0" borderId="64" xfId="0" applyBorder="1" applyAlignment="1">
      <alignment horizontal="center"/>
    </xf>
    <xf numFmtId="0" fontId="0" fillId="0" borderId="65" xfId="0" applyBorder="1" applyAlignment="1">
      <alignment horizontal="center"/>
    </xf>
    <xf numFmtId="0" fontId="0" fillId="0" borderId="66" xfId="0" applyBorder="1" applyAlignment="1">
      <alignment horizontal="center"/>
    </xf>
    <xf numFmtId="0" fontId="0" fillId="0" borderId="67" xfId="0" applyBorder="1" applyAlignment="1">
      <alignment horizontal="center"/>
    </xf>
    <xf numFmtId="0" fontId="0" fillId="0" borderId="68" xfId="0" applyBorder="1" applyAlignment="1">
      <alignment horizontal="center"/>
    </xf>
    <xf numFmtId="0" fontId="0" fillId="0" borderId="69" xfId="0" applyBorder="1" applyAlignment="1">
      <alignment horizontal="center"/>
    </xf>
    <xf numFmtId="0" fontId="0" fillId="0" borderId="70" xfId="0" applyBorder="1" applyAlignment="1">
      <alignment horizontal="center"/>
    </xf>
    <xf numFmtId="0" fontId="1" fillId="0" borderId="71" xfId="0" applyFont="1" applyBorder="1" applyAlignment="1">
      <alignment horizontal="center"/>
    </xf>
    <xf numFmtId="0" fontId="1" fillId="7" borderId="62" xfId="0" applyFont="1" applyFill="1" applyBorder="1" applyAlignment="1">
      <alignment horizontal="center"/>
    </xf>
    <xf numFmtId="0" fontId="1" fillId="7" borderId="61" xfId="0" applyFont="1" applyFill="1" applyBorder="1" applyAlignment="1">
      <alignment horizontal="center"/>
    </xf>
    <xf numFmtId="0" fontId="1" fillId="0" borderId="72" xfId="0" applyFont="1" applyBorder="1" applyAlignment="1">
      <alignment horizontal="center"/>
    </xf>
    <xf numFmtId="0" fontId="1" fillId="0" borderId="73" xfId="0" applyFont="1" applyBorder="1" applyAlignment="1">
      <alignment horizontal="center"/>
    </xf>
    <xf numFmtId="0" fontId="1" fillId="0" borderId="74" xfId="0" applyFont="1" applyBorder="1" applyAlignment="1">
      <alignment horizontal="center"/>
    </xf>
    <xf numFmtId="0" fontId="1" fillId="7" borderId="75" xfId="0" applyFont="1" applyFill="1" applyBorder="1" applyAlignment="1">
      <alignment horizontal="center"/>
    </xf>
    <xf numFmtId="0" fontId="1" fillId="0" borderId="76" xfId="0" applyFont="1" applyBorder="1" applyAlignment="1">
      <alignment horizontal="center"/>
    </xf>
    <xf numFmtId="0" fontId="1" fillId="7" borderId="73" xfId="0" applyFont="1" applyFill="1" applyBorder="1" applyAlignment="1">
      <alignment horizontal="center"/>
    </xf>
    <xf numFmtId="0" fontId="1" fillId="0" borderId="77" xfId="0" applyFont="1" applyBorder="1" applyAlignment="1">
      <alignment horizontal="center"/>
    </xf>
    <xf numFmtId="0" fontId="1" fillId="0" borderId="78" xfId="0" applyFont="1" applyBorder="1" applyAlignment="1">
      <alignment horizontal="center"/>
    </xf>
    <xf numFmtId="0" fontId="1" fillId="7" borderId="79" xfId="0" applyFont="1" applyFill="1" applyBorder="1" applyAlignment="1">
      <alignment horizontal="center"/>
    </xf>
    <xf numFmtId="0" fontId="1" fillId="0" borderId="80" xfId="0" applyFont="1" applyBorder="1" applyAlignment="1">
      <alignment horizontal="center"/>
    </xf>
    <xf numFmtId="0" fontId="1" fillId="7" borderId="76" xfId="0" applyFont="1" applyFill="1" applyBorder="1" applyAlignment="1">
      <alignment horizontal="center"/>
    </xf>
    <xf numFmtId="0" fontId="1" fillId="7" borderId="74" xfId="0" applyFont="1" applyFill="1" applyBorder="1" applyAlignment="1">
      <alignment horizontal="center"/>
    </xf>
    <xf numFmtId="0" fontId="28" fillId="0" borderId="48" xfId="0" applyFont="1" applyBorder="1" applyAlignment="1">
      <alignment horizontal="center"/>
    </xf>
    <xf numFmtId="0" fontId="0" fillId="0" borderId="0" xfId="0" applyProtection="1">
      <protection hidden="1"/>
    </xf>
    <xf numFmtId="0" fontId="0" fillId="0" borderId="64" xfId="0" applyBorder="1" applyProtection="1">
      <protection hidden="1"/>
    </xf>
    <xf numFmtId="0" fontId="0" fillId="0" borderId="57" xfId="0" applyBorder="1" applyProtection="1">
      <protection hidden="1"/>
    </xf>
    <xf numFmtId="0" fontId="0" fillId="0" borderId="65" xfId="0" applyBorder="1" applyProtection="1">
      <protection hidden="1"/>
    </xf>
    <xf numFmtId="0" fontId="0" fillId="0" borderId="68" xfId="0" applyBorder="1" applyAlignment="1" applyProtection="1">
      <alignment horizontal="center"/>
      <protection hidden="1"/>
    </xf>
    <xf numFmtId="0" fontId="0" fillId="0" borderId="1" xfId="0" applyBorder="1" applyAlignment="1" applyProtection="1">
      <alignment horizontal="center"/>
      <protection hidden="1"/>
    </xf>
    <xf numFmtId="0" fontId="0" fillId="0" borderId="69" xfId="0" applyBorder="1" applyAlignment="1" applyProtection="1">
      <alignment horizontal="center"/>
      <protection hidden="1"/>
    </xf>
    <xf numFmtId="0" fontId="21" fillId="0" borderId="0" xfId="0" applyFont="1" applyProtection="1">
      <protection hidden="1"/>
    </xf>
    <xf numFmtId="0" fontId="0" fillId="8" borderId="64" xfId="0" applyFill="1" applyBorder="1" applyProtection="1">
      <protection hidden="1"/>
    </xf>
    <xf numFmtId="0" fontId="0" fillId="8" borderId="57" xfId="0" applyFill="1" applyBorder="1" applyProtection="1">
      <protection hidden="1"/>
    </xf>
    <xf numFmtId="0" fontId="0" fillId="8" borderId="65" xfId="0" applyFill="1" applyBorder="1" applyProtection="1">
      <protection hidden="1"/>
    </xf>
    <xf numFmtId="0" fontId="0" fillId="8" borderId="66" xfId="0" applyFill="1" applyBorder="1" applyProtection="1">
      <protection hidden="1"/>
    </xf>
    <xf numFmtId="0" fontId="0" fillId="8" borderId="0" xfId="0" applyFill="1" applyProtection="1">
      <protection hidden="1"/>
    </xf>
    <xf numFmtId="0" fontId="2" fillId="8" borderId="0" xfId="0" applyFont="1" applyFill="1" applyAlignment="1" applyProtection="1">
      <alignment horizontal="center" vertical="center"/>
      <protection hidden="1"/>
    </xf>
    <xf numFmtId="0" fontId="0" fillId="8" borderId="67" xfId="0" applyFill="1" applyBorder="1" applyProtection="1">
      <protection hidden="1"/>
    </xf>
    <xf numFmtId="0" fontId="0" fillId="0" borderId="0" xfId="0" applyAlignment="1" applyProtection="1">
      <alignment horizontal="left"/>
      <protection hidden="1"/>
    </xf>
    <xf numFmtId="0" fontId="0" fillId="0" borderId="0" xfId="0" applyAlignment="1" applyProtection="1">
      <alignment horizontal="center" vertical="center"/>
      <protection hidden="1"/>
    </xf>
    <xf numFmtId="0" fontId="0" fillId="8" borderId="68" xfId="0" applyFill="1" applyBorder="1" applyProtection="1">
      <protection hidden="1"/>
    </xf>
    <xf numFmtId="0" fontId="0" fillId="8" borderId="1" xfId="0" applyFill="1" applyBorder="1" applyProtection="1">
      <protection hidden="1"/>
    </xf>
    <xf numFmtId="0" fontId="0" fillId="8" borderId="69" xfId="0" applyFill="1" applyBorder="1" applyProtection="1">
      <protection hidden="1"/>
    </xf>
    <xf numFmtId="0" fontId="20" fillId="0" borderId="0" xfId="0" applyFont="1" applyAlignment="1" applyProtection="1">
      <alignment horizontal="center" vertical="center"/>
      <protection hidden="1"/>
    </xf>
    <xf numFmtId="0" fontId="0" fillId="0" borderId="66" xfId="0" applyBorder="1" applyProtection="1">
      <protection hidden="1"/>
    </xf>
    <xf numFmtId="0" fontId="0" fillId="0" borderId="67" xfId="0" applyBorder="1" applyProtection="1">
      <protection hidden="1"/>
    </xf>
    <xf numFmtId="0" fontId="1" fillId="0" borderId="0" xfId="0" applyFont="1" applyAlignment="1" applyProtection="1">
      <alignment horizontal="center"/>
      <protection hidden="1"/>
    </xf>
    <xf numFmtId="0" fontId="0" fillId="9" borderId="81" xfId="0" applyFill="1" applyBorder="1" applyProtection="1">
      <protection hidden="1"/>
    </xf>
    <xf numFmtId="0" fontId="0" fillId="9" borderId="82" xfId="0" applyFill="1" applyBorder="1" applyProtection="1">
      <protection hidden="1"/>
    </xf>
    <xf numFmtId="0" fontId="0" fillId="9" borderId="83" xfId="0" applyFill="1" applyBorder="1" applyProtection="1">
      <protection hidden="1"/>
    </xf>
    <xf numFmtId="0" fontId="0" fillId="0" borderId="84" xfId="0" applyBorder="1" applyProtection="1">
      <protection hidden="1"/>
    </xf>
    <xf numFmtId="0" fontId="0" fillId="0" borderId="85" xfId="0" applyBorder="1" applyProtection="1">
      <protection hidden="1"/>
    </xf>
    <xf numFmtId="0" fontId="1" fillId="0" borderId="9" xfId="0" applyFont="1" applyBorder="1" applyAlignment="1" applyProtection="1">
      <alignment horizontal="center"/>
      <protection hidden="1"/>
    </xf>
    <xf numFmtId="0" fontId="0" fillId="9" borderId="66" xfId="0" applyFill="1" applyBorder="1" applyProtection="1">
      <protection hidden="1"/>
    </xf>
    <xf numFmtId="0" fontId="0" fillId="9" borderId="0" xfId="0" applyFill="1" applyProtection="1">
      <protection hidden="1"/>
    </xf>
    <xf numFmtId="0" fontId="0" fillId="9" borderId="67" xfId="0" applyFill="1" applyBorder="1" applyProtection="1">
      <protection hidden="1"/>
    </xf>
    <xf numFmtId="0" fontId="0" fillId="0" borderId="45" xfId="0" applyBorder="1" applyProtection="1">
      <protection hidden="1"/>
    </xf>
    <xf numFmtId="0" fontId="0" fillId="0" borderId="46" xfId="0" applyBorder="1" applyProtection="1">
      <protection hidden="1"/>
    </xf>
    <xf numFmtId="0" fontId="0" fillId="0" borderId="0" xfId="0" quotePrefix="1" applyAlignment="1" applyProtection="1">
      <alignment vertical="center"/>
      <protection hidden="1"/>
    </xf>
    <xf numFmtId="0" fontId="0" fillId="0" borderId="0" xfId="0" applyAlignment="1" applyProtection="1">
      <alignment vertical="center"/>
      <protection hidden="1"/>
    </xf>
    <xf numFmtId="0" fontId="0" fillId="0" borderId="86" xfId="0" applyBorder="1" applyProtection="1">
      <protection hidden="1"/>
    </xf>
    <xf numFmtId="0" fontId="0" fillId="0" borderId="87" xfId="0" applyBorder="1" applyProtection="1">
      <protection hidden="1"/>
    </xf>
    <xf numFmtId="0" fontId="0" fillId="0" borderId="0" xfId="0" applyAlignment="1" applyProtection="1">
      <alignment wrapText="1"/>
      <protection hidden="1"/>
    </xf>
    <xf numFmtId="0" fontId="0" fillId="10" borderId="0" xfId="0" applyFill="1" applyProtection="1">
      <protection hidden="1"/>
    </xf>
    <xf numFmtId="0" fontId="0" fillId="9" borderId="68" xfId="0" applyFill="1" applyBorder="1" applyProtection="1">
      <protection hidden="1"/>
    </xf>
    <xf numFmtId="0" fontId="0" fillId="9" borderId="1" xfId="0" applyFill="1" applyBorder="1" applyProtection="1">
      <protection hidden="1"/>
    </xf>
    <xf numFmtId="0" fontId="0" fillId="9" borderId="69" xfId="0" applyFill="1" applyBorder="1" applyProtection="1">
      <protection hidden="1"/>
    </xf>
    <xf numFmtId="0" fontId="0" fillId="9" borderId="64" xfId="0" applyFill="1" applyBorder="1" applyProtection="1">
      <protection hidden="1"/>
    </xf>
    <xf numFmtId="0" fontId="0" fillId="9" borderId="57" xfId="0" applyFill="1" applyBorder="1" applyProtection="1">
      <protection hidden="1"/>
    </xf>
    <xf numFmtId="0" fontId="0" fillId="9" borderId="88" xfId="0" applyFill="1" applyBorder="1" applyProtection="1">
      <protection hidden="1"/>
    </xf>
    <xf numFmtId="0" fontId="0" fillId="9" borderId="89" xfId="0" applyFill="1" applyBorder="1" applyProtection="1">
      <protection hidden="1"/>
    </xf>
    <xf numFmtId="0" fontId="0" fillId="0" borderId="90" xfId="0" applyBorder="1" applyProtection="1">
      <protection hidden="1"/>
    </xf>
    <xf numFmtId="0" fontId="0" fillId="0" borderId="91" xfId="0" applyBorder="1" applyProtection="1">
      <protection hidden="1"/>
    </xf>
    <xf numFmtId="0" fontId="13" fillId="0" borderId="0" xfId="0" applyFont="1" applyAlignment="1" applyProtection="1">
      <alignment horizontal="right" vertical="center" textRotation="90"/>
      <protection hidden="1"/>
    </xf>
    <xf numFmtId="0" fontId="0" fillId="11" borderId="92" xfId="0" applyFill="1" applyBorder="1" applyAlignment="1" applyProtection="1">
      <alignment horizontal="center"/>
      <protection hidden="1"/>
    </xf>
    <xf numFmtId="0" fontId="0" fillId="11" borderId="23" xfId="0" applyFill="1" applyBorder="1" applyAlignment="1" applyProtection="1">
      <alignment horizontal="center"/>
      <protection hidden="1"/>
    </xf>
    <xf numFmtId="0" fontId="0" fillId="10" borderId="23" xfId="0" applyFill="1" applyBorder="1" applyAlignment="1" applyProtection="1">
      <alignment horizontal="center"/>
      <protection hidden="1"/>
    </xf>
    <xf numFmtId="0" fontId="0" fillId="12" borderId="93" xfId="0" applyFill="1" applyBorder="1" applyAlignment="1" applyProtection="1">
      <alignment horizontal="center"/>
      <protection hidden="1"/>
    </xf>
    <xf numFmtId="0" fontId="0" fillId="0" borderId="0" xfId="0" applyAlignment="1" applyProtection="1">
      <alignment horizontal="center"/>
      <protection hidden="1"/>
    </xf>
    <xf numFmtId="0" fontId="15" fillId="0" borderId="0" xfId="0" applyFont="1" applyAlignment="1" applyProtection="1">
      <alignment horizontal="center" vertical="center"/>
      <protection hidden="1"/>
    </xf>
    <xf numFmtId="0" fontId="0" fillId="11" borderId="94" xfId="0" applyFill="1" applyBorder="1" applyAlignment="1" applyProtection="1">
      <alignment horizontal="center"/>
      <protection hidden="1"/>
    </xf>
    <xf numFmtId="0" fontId="0" fillId="11" borderId="9" xfId="0" applyFill="1" applyBorder="1" applyAlignment="1" applyProtection="1">
      <alignment horizontal="center"/>
      <protection hidden="1"/>
    </xf>
    <xf numFmtId="0" fontId="0" fillId="10" borderId="9" xfId="0" applyFill="1" applyBorder="1" applyAlignment="1" applyProtection="1">
      <alignment horizontal="center"/>
      <protection hidden="1"/>
    </xf>
    <xf numFmtId="0" fontId="0" fillId="12" borderId="95" xfId="0" applyFill="1" applyBorder="1" applyAlignment="1" applyProtection="1">
      <alignment horizontal="center"/>
      <protection hidden="1"/>
    </xf>
    <xf numFmtId="0" fontId="0" fillId="10" borderId="94" xfId="0" applyFill="1" applyBorder="1" applyAlignment="1" applyProtection="1">
      <alignment horizontal="center"/>
      <protection hidden="1"/>
    </xf>
    <xf numFmtId="0" fontId="0" fillId="11" borderId="96" xfId="0" applyFill="1" applyBorder="1" applyAlignment="1" applyProtection="1">
      <alignment horizontal="center"/>
      <protection hidden="1"/>
    </xf>
    <xf numFmtId="0" fontId="0" fillId="9" borderId="97" xfId="0" applyFill="1" applyBorder="1" applyProtection="1">
      <protection hidden="1"/>
    </xf>
    <xf numFmtId="0" fontId="0" fillId="9" borderId="65" xfId="0" applyFill="1" applyBorder="1" applyProtection="1">
      <protection hidden="1"/>
    </xf>
    <xf numFmtId="0" fontId="0" fillId="9" borderId="98" xfId="0" applyFill="1" applyBorder="1" applyProtection="1">
      <protection hidden="1"/>
    </xf>
    <xf numFmtId="0" fontId="0" fillId="9" borderId="99" xfId="0" applyFill="1" applyBorder="1" applyProtection="1">
      <protection hidden="1"/>
    </xf>
    <xf numFmtId="0" fontId="0" fillId="9" borderId="100" xfId="0" applyFill="1" applyBorder="1" applyProtection="1">
      <protection hidden="1"/>
    </xf>
    <xf numFmtId="0" fontId="0" fillId="0" borderId="101" xfId="0" applyBorder="1" applyProtection="1">
      <protection hidden="1"/>
    </xf>
    <xf numFmtId="0" fontId="0" fillId="0" borderId="17" xfId="0" applyBorder="1" applyProtection="1">
      <protection hidden="1"/>
    </xf>
    <xf numFmtId="0" fontId="0" fillId="0" borderId="48" xfId="0" applyBorder="1" applyProtection="1">
      <protection hidden="1"/>
    </xf>
    <xf numFmtId="0" fontId="0" fillId="0" borderId="9" xfId="0" applyBorder="1" applyAlignment="1" applyProtection="1">
      <alignment horizontal="center"/>
      <protection hidden="1"/>
    </xf>
    <xf numFmtId="0" fontId="0" fillId="0" borderId="102" xfId="0" applyBorder="1" applyProtection="1">
      <protection hidden="1"/>
    </xf>
    <xf numFmtId="0" fontId="0" fillId="0" borderId="103" xfId="0" applyBorder="1" applyProtection="1">
      <protection hidden="1"/>
    </xf>
    <xf numFmtId="0" fontId="0" fillId="0" borderId="104" xfId="0" applyBorder="1" applyProtection="1">
      <protection hidden="1"/>
    </xf>
    <xf numFmtId="0" fontId="0" fillId="0" borderId="0" xfId="0" applyAlignment="1" applyProtection="1">
      <alignment horizontal="right"/>
      <protection hidden="1"/>
    </xf>
    <xf numFmtId="0" fontId="18" fillId="0" borderId="0" xfId="0" applyFont="1" applyProtection="1">
      <protection hidden="1"/>
    </xf>
    <xf numFmtId="0" fontId="0" fillId="0" borderId="68" xfId="0" applyBorder="1" applyProtection="1">
      <protection hidden="1"/>
    </xf>
    <xf numFmtId="0" fontId="0" fillId="0" borderId="1" xfId="0" applyBorder="1" applyProtection="1">
      <protection hidden="1"/>
    </xf>
    <xf numFmtId="0" fontId="0" fillId="0" borderId="69" xfId="0" applyBorder="1" applyProtection="1">
      <protection hidden="1"/>
    </xf>
    <xf numFmtId="0" fontId="0" fillId="0" borderId="105" xfId="0" applyBorder="1" applyProtection="1">
      <protection hidden="1"/>
    </xf>
    <xf numFmtId="0" fontId="0" fillId="0" borderId="106" xfId="0" applyBorder="1" applyProtection="1">
      <protection hidden="1"/>
    </xf>
    <xf numFmtId="0" fontId="29" fillId="0" borderId="0" xfId="0" applyFont="1" applyProtection="1">
      <protection hidden="1"/>
    </xf>
    <xf numFmtId="49" fontId="0" fillId="0" borderId="0" xfId="0" applyNumberFormat="1" applyProtection="1">
      <protection hidden="1"/>
    </xf>
    <xf numFmtId="0" fontId="0" fillId="0" borderId="22" xfId="0" applyBorder="1" applyProtection="1">
      <protection hidden="1"/>
    </xf>
    <xf numFmtId="0" fontId="0" fillId="0" borderId="23" xfId="0" applyBorder="1" applyProtection="1">
      <protection hidden="1"/>
    </xf>
    <xf numFmtId="0" fontId="0" fillId="0" borderId="7" xfId="0" applyBorder="1" applyProtection="1">
      <protection hidden="1"/>
    </xf>
    <xf numFmtId="0" fontId="0" fillId="0" borderId="9" xfId="0" applyBorder="1" applyProtection="1">
      <protection hidden="1"/>
    </xf>
    <xf numFmtId="0" fontId="0" fillId="0" borderId="8" xfId="0" applyBorder="1" applyProtection="1">
      <protection hidden="1"/>
    </xf>
    <xf numFmtId="0" fontId="0" fillId="0" borderId="10" xfId="0" applyBorder="1" applyProtection="1">
      <protection hidden="1"/>
    </xf>
    <xf numFmtId="0" fontId="0" fillId="0" borderId="107" xfId="0" applyBorder="1" applyProtection="1">
      <protection hidden="1"/>
    </xf>
    <xf numFmtId="49" fontId="16" fillId="3" borderId="68" xfId="0" applyNumberFormat="1" applyFont="1" applyFill="1" applyBorder="1" applyAlignment="1" applyProtection="1">
      <alignment horizontal="center" vertical="center"/>
      <protection locked="0"/>
    </xf>
    <xf numFmtId="0" fontId="16" fillId="3" borderId="108" xfId="0" applyFont="1" applyFill="1" applyBorder="1" applyAlignment="1" applyProtection="1">
      <alignment horizontal="center"/>
      <protection locked="0"/>
    </xf>
    <xf numFmtId="0" fontId="40" fillId="0" borderId="0" xfId="0" applyFont="1" applyAlignment="1" applyProtection="1">
      <alignment vertical="top" wrapText="1"/>
      <protection hidden="1"/>
    </xf>
    <xf numFmtId="0" fontId="0" fillId="11" borderId="10" xfId="0" applyFill="1" applyBorder="1" applyProtection="1">
      <protection hidden="1"/>
    </xf>
    <xf numFmtId="0" fontId="0" fillId="11" borderId="10" xfId="0" applyFill="1" applyBorder="1" applyAlignment="1" applyProtection="1">
      <alignment horizontal="center"/>
      <protection hidden="1"/>
    </xf>
    <xf numFmtId="0" fontId="0" fillId="0" borderId="109" xfId="0" applyBorder="1" applyProtection="1">
      <protection hidden="1"/>
    </xf>
    <xf numFmtId="0" fontId="25" fillId="0" borderId="110" xfId="0" applyFont="1" applyBorder="1" applyProtection="1">
      <protection hidden="1"/>
    </xf>
    <xf numFmtId="0" fontId="19" fillId="0" borderId="111" xfId="0" applyFont="1" applyBorder="1" applyProtection="1">
      <protection hidden="1"/>
    </xf>
    <xf numFmtId="0" fontId="25" fillId="0" borderId="112" xfId="0" applyFont="1" applyBorder="1" applyProtection="1">
      <protection hidden="1"/>
    </xf>
    <xf numFmtId="0" fontId="19" fillId="0" borderId="112" xfId="0" applyFont="1" applyBorder="1" applyProtection="1">
      <protection hidden="1"/>
    </xf>
    <xf numFmtId="0" fontId="43" fillId="0" borderId="110" xfId="0" applyFont="1" applyBorder="1" applyProtection="1">
      <protection hidden="1"/>
    </xf>
    <xf numFmtId="0" fontId="43" fillId="0" borderId="112" xfId="0" applyFont="1" applyBorder="1" applyProtection="1">
      <protection hidden="1"/>
    </xf>
    <xf numFmtId="0" fontId="37" fillId="0" borderId="113" xfId="0" applyFont="1" applyBorder="1" applyAlignment="1" applyProtection="1">
      <alignment vertical="center"/>
      <protection hidden="1"/>
    </xf>
    <xf numFmtId="0" fontId="37" fillId="0" borderId="114" xfId="0" applyFont="1" applyBorder="1" applyAlignment="1" applyProtection="1">
      <alignment vertical="center"/>
      <protection hidden="1"/>
    </xf>
    <xf numFmtId="0" fontId="45" fillId="0" borderId="113" xfId="0" applyFont="1" applyBorder="1" applyAlignment="1" applyProtection="1">
      <alignment vertical="center"/>
      <protection hidden="1"/>
    </xf>
    <xf numFmtId="0" fontId="45" fillId="0" borderId="114" xfId="0" applyFont="1" applyBorder="1" applyAlignment="1" applyProtection="1">
      <alignment vertical="center"/>
      <protection hidden="1"/>
    </xf>
    <xf numFmtId="0" fontId="0" fillId="13" borderId="105" xfId="0" applyFill="1" applyBorder="1" applyProtection="1">
      <protection hidden="1"/>
    </xf>
    <xf numFmtId="0" fontId="0" fillId="13" borderId="106" xfId="0" applyFill="1" applyBorder="1" applyProtection="1">
      <protection hidden="1"/>
    </xf>
    <xf numFmtId="0" fontId="44" fillId="0" borderId="115" xfId="0" applyFont="1" applyBorder="1" applyAlignment="1" applyProtection="1">
      <alignment vertical="center"/>
      <protection hidden="1"/>
    </xf>
    <xf numFmtId="0" fontId="37" fillId="0" borderId="115" xfId="0" quotePrefix="1" applyFont="1" applyBorder="1" applyAlignment="1" applyProtection="1">
      <alignment horizontal="center" vertical="center"/>
      <protection hidden="1"/>
    </xf>
    <xf numFmtId="0" fontId="37" fillId="0" borderId="115" xfId="0" applyFont="1" applyBorder="1" applyAlignment="1" applyProtection="1">
      <alignment vertical="center"/>
      <protection hidden="1"/>
    </xf>
    <xf numFmtId="0" fontId="46" fillId="0" borderId="119" xfId="0" applyFont="1" applyBorder="1" applyAlignment="1" applyProtection="1">
      <alignment vertical="top" wrapText="1"/>
      <protection hidden="1"/>
    </xf>
    <xf numFmtId="0" fontId="40" fillId="0" borderId="120" xfId="0" applyFont="1" applyBorder="1" applyAlignment="1" applyProtection="1">
      <alignment vertical="top" wrapText="1"/>
      <protection hidden="1"/>
    </xf>
    <xf numFmtId="0" fontId="40" fillId="0" borderId="121" xfId="0" applyFont="1" applyBorder="1" applyAlignment="1" applyProtection="1">
      <alignment vertical="top" wrapText="1"/>
      <protection hidden="1"/>
    </xf>
    <xf numFmtId="0" fontId="40" fillId="0" borderId="118" xfId="0" applyFont="1" applyBorder="1" applyAlignment="1" applyProtection="1">
      <alignment vertical="top" wrapText="1"/>
      <protection hidden="1"/>
    </xf>
    <xf numFmtId="0" fontId="40" fillId="0" borderId="0" xfId="0" applyFont="1" applyAlignment="1" applyProtection="1">
      <alignment vertical="top" wrapText="1"/>
      <protection hidden="1"/>
    </xf>
    <xf numFmtId="0" fontId="40" fillId="0" borderId="116" xfId="0" applyFont="1" applyBorder="1" applyAlignment="1" applyProtection="1">
      <alignment vertical="top" wrapText="1"/>
      <protection hidden="1"/>
    </xf>
    <xf numFmtId="0" fontId="45" fillId="0" borderId="118" xfId="0" applyFont="1" applyBorder="1" applyAlignment="1" applyProtection="1">
      <alignment wrapText="1"/>
      <protection hidden="1"/>
    </xf>
    <xf numFmtId="0" fontId="45" fillId="0" borderId="0" xfId="0" applyFont="1" applyAlignment="1" applyProtection="1">
      <alignment wrapText="1"/>
      <protection hidden="1"/>
    </xf>
    <xf numFmtId="0" fontId="45" fillId="0" borderId="116" xfId="0" applyFont="1" applyBorder="1" applyAlignment="1" applyProtection="1">
      <alignment wrapText="1"/>
      <protection hidden="1"/>
    </xf>
    <xf numFmtId="0" fontId="45" fillId="0" borderId="117" xfId="0" applyFont="1" applyBorder="1" applyAlignment="1" applyProtection="1">
      <alignment wrapText="1"/>
      <protection hidden="1"/>
    </xf>
    <xf numFmtId="0" fontId="45" fillId="0" borderId="122" xfId="0" applyFont="1" applyBorder="1" applyAlignment="1" applyProtection="1">
      <alignment wrapText="1"/>
      <protection hidden="1"/>
    </xf>
    <xf numFmtId="0" fontId="45" fillId="0" borderId="123" xfId="0" applyFont="1" applyBorder="1" applyAlignment="1" applyProtection="1">
      <alignment wrapText="1"/>
      <protection hidden="1"/>
    </xf>
    <xf numFmtId="0" fontId="40" fillId="0" borderId="124" xfId="0" applyFont="1" applyBorder="1" applyAlignment="1" applyProtection="1">
      <alignment vertical="top" wrapText="1"/>
      <protection hidden="1"/>
    </xf>
    <xf numFmtId="0" fontId="40" fillId="0" borderId="125" xfId="0" applyFont="1" applyBorder="1" applyAlignment="1" applyProtection="1">
      <alignment vertical="top" wrapText="1"/>
      <protection hidden="1"/>
    </xf>
    <xf numFmtId="0" fontId="40" fillId="0" borderId="126" xfId="0" applyFont="1" applyBorder="1" applyAlignment="1" applyProtection="1">
      <alignment vertical="top" wrapText="1"/>
      <protection hidden="1"/>
    </xf>
    <xf numFmtId="0" fontId="40" fillId="0" borderId="90" xfId="0" applyFont="1" applyBorder="1" applyAlignment="1" applyProtection="1">
      <alignment vertical="top" wrapText="1"/>
      <protection hidden="1"/>
    </xf>
    <xf numFmtId="0" fontId="40" fillId="0" borderId="91" xfId="0" applyFont="1" applyBorder="1" applyAlignment="1" applyProtection="1">
      <alignment vertical="top" wrapText="1"/>
      <protection hidden="1"/>
    </xf>
    <xf numFmtId="0" fontId="26" fillId="11" borderId="127" xfId="0" applyFont="1" applyFill="1" applyBorder="1" applyAlignment="1" applyProtection="1">
      <alignment horizontal="center" vertical="center"/>
      <protection hidden="1"/>
    </xf>
    <xf numFmtId="0" fontId="26" fillId="0" borderId="106" xfId="0" applyFont="1" applyBorder="1" applyAlignment="1">
      <alignment vertical="center"/>
    </xf>
    <xf numFmtId="0" fontId="26" fillId="10" borderId="105" xfId="0" applyFont="1" applyFill="1" applyBorder="1" applyAlignment="1" applyProtection="1">
      <alignment horizontal="center" vertical="center"/>
      <protection hidden="1"/>
    </xf>
    <xf numFmtId="0" fontId="26" fillId="10" borderId="106" xfId="0" applyFont="1" applyFill="1" applyBorder="1" applyAlignment="1">
      <alignment vertical="center"/>
    </xf>
    <xf numFmtId="0" fontId="26" fillId="12" borderId="105" xfId="0" applyFont="1" applyFill="1" applyBorder="1" applyAlignment="1" applyProtection="1">
      <alignment horizontal="center" vertical="center"/>
      <protection hidden="1"/>
    </xf>
    <xf numFmtId="0" fontId="26" fillId="12" borderId="128" xfId="0" applyFont="1" applyFill="1" applyBorder="1" applyAlignment="1">
      <alignment vertical="center"/>
    </xf>
    <xf numFmtId="0" fontId="25" fillId="0" borderId="129" xfId="0" applyFont="1" applyBorder="1" applyProtection="1">
      <protection hidden="1"/>
    </xf>
    <xf numFmtId="0" fontId="15" fillId="0" borderId="130" xfId="0" applyFont="1" applyBorder="1" applyAlignment="1" applyProtection="1">
      <alignment horizontal="center" vertical="center"/>
      <protection hidden="1"/>
    </xf>
    <xf numFmtId="0" fontId="15" fillId="0" borderId="131" xfId="0" applyFont="1" applyBorder="1" applyAlignment="1" applyProtection="1">
      <alignment horizontal="center" vertical="center"/>
      <protection hidden="1"/>
    </xf>
    <xf numFmtId="0" fontId="15" fillId="0" borderId="112" xfId="0" applyFont="1" applyBorder="1" applyAlignment="1" applyProtection="1">
      <alignment horizontal="center" vertical="center"/>
      <protection hidden="1"/>
    </xf>
    <xf numFmtId="0" fontId="17" fillId="0" borderId="131" xfId="0" applyFont="1" applyBorder="1" applyProtection="1">
      <protection hidden="1"/>
    </xf>
    <xf numFmtId="0" fontId="0" fillId="0" borderId="131" xfId="0" applyBorder="1"/>
    <xf numFmtId="0" fontId="2" fillId="0" borderId="130" xfId="0" applyFont="1" applyBorder="1" applyAlignment="1" applyProtection="1">
      <alignment horizontal="left" vertical="center"/>
      <protection hidden="1"/>
    </xf>
    <xf numFmtId="0" fontId="15" fillId="0" borderId="148" xfId="0" applyFont="1" applyBorder="1" applyAlignment="1" applyProtection="1">
      <alignment horizontal="center" vertical="center"/>
      <protection hidden="1"/>
    </xf>
    <xf numFmtId="0" fontId="15" fillId="0" borderId="109" xfId="0" applyFont="1" applyBorder="1" applyAlignment="1" applyProtection="1">
      <alignment horizontal="center" vertical="center"/>
      <protection hidden="1"/>
    </xf>
    <xf numFmtId="0" fontId="15" fillId="0" borderId="110" xfId="0" applyFont="1" applyBorder="1" applyAlignment="1" applyProtection="1">
      <alignment horizontal="center" vertical="center"/>
      <protection hidden="1"/>
    </xf>
    <xf numFmtId="0" fontId="47" fillId="0" borderId="147" xfId="0" applyFont="1" applyBorder="1" applyProtection="1">
      <protection hidden="1"/>
    </xf>
    <xf numFmtId="0" fontId="26" fillId="0" borderId="147" xfId="0" applyFont="1" applyBorder="1" applyProtection="1">
      <protection hidden="1"/>
    </xf>
    <xf numFmtId="0" fontId="18" fillId="0" borderId="131" xfId="0" applyFont="1" applyBorder="1" applyAlignment="1" applyProtection="1">
      <alignment horizontal="left" vertical="center"/>
      <protection hidden="1"/>
    </xf>
    <xf numFmtId="0" fontId="7" fillId="0" borderId="131" xfId="0" applyFont="1" applyBorder="1" applyProtection="1">
      <protection hidden="1"/>
    </xf>
    <xf numFmtId="0" fontId="15" fillId="0" borderId="148" xfId="0" applyFont="1" applyBorder="1" applyAlignment="1" applyProtection="1">
      <alignment horizontal="left" vertical="center"/>
      <protection hidden="1"/>
    </xf>
    <xf numFmtId="0" fontId="0" fillId="0" borderId="109" xfId="0" applyBorder="1" applyProtection="1">
      <protection hidden="1"/>
    </xf>
    <xf numFmtId="0" fontId="15" fillId="0" borderId="130" xfId="0" applyFont="1" applyBorder="1" applyAlignment="1" applyProtection="1">
      <alignment horizontal="left" vertical="center"/>
      <protection hidden="1"/>
    </xf>
    <xf numFmtId="0" fontId="0" fillId="0" borderId="131" xfId="0" applyBorder="1" applyProtection="1">
      <protection hidden="1"/>
    </xf>
    <xf numFmtId="0" fontId="2" fillId="0" borderId="149" xfId="0" applyFont="1" applyBorder="1" applyAlignment="1" applyProtection="1">
      <alignment horizontal="left" vertical="center"/>
      <protection hidden="1"/>
    </xf>
    <xf numFmtId="0" fontId="0" fillId="0" borderId="129" xfId="0" applyBorder="1" applyAlignment="1" applyProtection="1">
      <alignment horizontal="left" vertical="center"/>
      <protection hidden="1"/>
    </xf>
    <xf numFmtId="0" fontId="25" fillId="0" borderId="131" xfId="0" applyFont="1" applyBorder="1" applyProtection="1">
      <protection hidden="1"/>
    </xf>
    <xf numFmtId="0" fontId="18" fillId="0" borderId="130" xfId="0" applyFont="1" applyBorder="1" applyAlignment="1" applyProtection="1">
      <alignment horizontal="left" vertical="center"/>
      <protection hidden="1"/>
    </xf>
    <xf numFmtId="0" fontId="18" fillId="0" borderId="131" xfId="0" applyFont="1" applyBorder="1" applyAlignment="1">
      <alignment horizontal="left" vertical="center"/>
    </xf>
    <xf numFmtId="0" fontId="43" fillId="0" borderId="131" xfId="0" applyFont="1" applyBorder="1"/>
    <xf numFmtId="0" fontId="18" fillId="0" borderId="148" xfId="0" applyFont="1" applyBorder="1" applyAlignment="1" applyProtection="1">
      <alignment horizontal="left" vertical="center"/>
      <protection hidden="1"/>
    </xf>
    <xf numFmtId="0" fontId="0" fillId="0" borderId="109" xfId="0" applyBorder="1" applyAlignment="1">
      <alignment horizontal="left" vertical="center"/>
    </xf>
    <xf numFmtId="0" fontId="7" fillId="0" borderId="109" xfId="0" applyFont="1" applyBorder="1" applyProtection="1">
      <protection hidden="1"/>
    </xf>
    <xf numFmtId="0" fontId="0" fillId="0" borderId="109" xfId="0" applyBorder="1"/>
    <xf numFmtId="0" fontId="0" fillId="0" borderId="66" xfId="0" applyBorder="1" applyAlignment="1" applyProtection="1">
      <alignment horizontal="center"/>
      <protection hidden="1"/>
    </xf>
    <xf numFmtId="0" fontId="0" fillId="0" borderId="0" xfId="0" applyAlignment="1" applyProtection="1">
      <alignment horizontal="center"/>
      <protection hidden="1"/>
    </xf>
    <xf numFmtId="0" fontId="0" fillId="0" borderId="67" xfId="0" applyBorder="1" applyAlignment="1" applyProtection="1">
      <alignment horizontal="center"/>
      <protection hidden="1"/>
    </xf>
    <xf numFmtId="0" fontId="39" fillId="8" borderId="49" xfId="0" applyFont="1" applyFill="1" applyBorder="1" applyAlignment="1" applyProtection="1">
      <alignment horizontal="center" vertical="center" wrapText="1"/>
      <protection hidden="1"/>
    </xf>
    <xf numFmtId="0" fontId="39" fillId="8" borderId="132" xfId="0" applyFont="1" applyFill="1" applyBorder="1" applyAlignment="1" applyProtection="1">
      <alignment horizontal="center" vertical="center" wrapText="1"/>
      <protection hidden="1"/>
    </xf>
    <xf numFmtId="0" fontId="39" fillId="8" borderId="133" xfId="0" applyFont="1" applyFill="1" applyBorder="1" applyAlignment="1" applyProtection="1">
      <alignment horizontal="center" vertical="center" wrapText="1"/>
      <protection hidden="1"/>
    </xf>
    <xf numFmtId="0" fontId="39" fillId="8" borderId="17" xfId="0" applyFont="1" applyFill="1" applyBorder="1" applyAlignment="1" applyProtection="1">
      <alignment horizontal="center" vertical="center" wrapText="1"/>
      <protection hidden="1"/>
    </xf>
    <xf numFmtId="0" fontId="39" fillId="8" borderId="0" xfId="0" applyFont="1" applyFill="1" applyAlignment="1" applyProtection="1">
      <alignment horizontal="center" vertical="center" wrapText="1"/>
      <protection hidden="1"/>
    </xf>
    <xf numFmtId="0" fontId="39" fillId="8" borderId="91" xfId="0" applyFont="1" applyFill="1" applyBorder="1" applyAlignment="1" applyProtection="1">
      <alignment horizontal="center" vertical="center" wrapText="1"/>
      <protection hidden="1"/>
    </xf>
    <xf numFmtId="0" fontId="39" fillId="8" borderId="44" xfId="0" applyFont="1" applyFill="1" applyBorder="1" applyAlignment="1" applyProtection="1">
      <alignment horizontal="center" vertical="center" wrapText="1"/>
      <protection hidden="1"/>
    </xf>
    <xf numFmtId="0" fontId="39" fillId="8" borderId="1" xfId="0" applyFont="1" applyFill="1" applyBorder="1" applyAlignment="1" applyProtection="1">
      <alignment horizontal="center" vertical="center" wrapText="1"/>
      <protection hidden="1"/>
    </xf>
    <xf numFmtId="0" fontId="39" fillId="8" borderId="134" xfId="0" applyFont="1" applyFill="1" applyBorder="1" applyAlignment="1" applyProtection="1">
      <alignment horizontal="center" vertical="center" wrapText="1"/>
      <protection hidden="1"/>
    </xf>
    <xf numFmtId="0" fontId="39" fillId="8" borderId="57" xfId="0" applyFont="1" applyFill="1" applyBorder="1" applyAlignment="1" applyProtection="1">
      <alignment horizontal="center" vertical="center" wrapText="1"/>
      <protection hidden="1"/>
    </xf>
    <xf numFmtId="0" fontId="39" fillId="8" borderId="135" xfId="0" applyFont="1" applyFill="1" applyBorder="1" applyAlignment="1" applyProtection="1">
      <alignment horizontal="center" vertical="center" wrapText="1"/>
      <protection hidden="1"/>
    </xf>
    <xf numFmtId="0" fontId="41" fillId="14" borderId="136" xfId="0" applyFont="1" applyFill="1" applyBorder="1" applyAlignment="1" applyProtection="1">
      <alignment horizontal="center" vertical="center" wrapText="1"/>
      <protection hidden="1"/>
    </xf>
    <xf numFmtId="0" fontId="41" fillId="14" borderId="137" xfId="0" applyFont="1" applyFill="1" applyBorder="1" applyAlignment="1" applyProtection="1">
      <alignment horizontal="center" vertical="center" wrapText="1"/>
      <protection hidden="1"/>
    </xf>
    <xf numFmtId="0" fontId="41" fillId="14" borderId="138" xfId="0" applyFont="1" applyFill="1" applyBorder="1" applyAlignment="1" applyProtection="1">
      <alignment horizontal="center" vertical="center" wrapText="1"/>
      <protection hidden="1"/>
    </xf>
    <xf numFmtId="0" fontId="41" fillId="14" borderId="139" xfId="0" applyFont="1" applyFill="1" applyBorder="1" applyAlignment="1" applyProtection="1">
      <alignment horizontal="center" vertical="center" wrapText="1"/>
      <protection hidden="1"/>
    </xf>
    <xf numFmtId="0" fontId="41" fillId="14" borderId="1" xfId="0" applyFont="1" applyFill="1" applyBorder="1" applyAlignment="1" applyProtection="1">
      <alignment horizontal="center" vertical="center" wrapText="1"/>
      <protection hidden="1"/>
    </xf>
    <xf numFmtId="0" fontId="41" fillId="14" borderId="134" xfId="0" applyFont="1" applyFill="1" applyBorder="1" applyAlignment="1" applyProtection="1">
      <alignment horizontal="center" vertical="center" wrapText="1"/>
      <protection hidden="1"/>
    </xf>
    <xf numFmtId="0" fontId="27" fillId="0" borderId="46" xfId="0" applyFont="1" applyBorder="1" applyAlignment="1" applyProtection="1">
      <alignment horizontal="center" vertical="center" textRotation="90"/>
      <protection hidden="1"/>
    </xf>
    <xf numFmtId="0" fontId="0" fillId="0" borderId="46" xfId="0" applyBorder="1" applyProtection="1">
      <protection hidden="1"/>
    </xf>
    <xf numFmtId="0" fontId="16" fillId="3" borderId="124" xfId="0" applyFont="1" applyFill="1" applyBorder="1" applyAlignment="1" applyProtection="1">
      <alignment horizontal="center" vertical="center"/>
      <protection locked="0"/>
    </xf>
    <xf numFmtId="0" fontId="2" fillId="0" borderId="125" xfId="0" applyFont="1" applyBorder="1" applyAlignment="1" applyProtection="1">
      <alignment horizontal="center" vertical="center"/>
      <protection locked="0"/>
    </xf>
    <xf numFmtId="0" fontId="2" fillId="0" borderId="126" xfId="0" applyFont="1" applyBorder="1" applyProtection="1">
      <protection locked="0"/>
    </xf>
    <xf numFmtId="0" fontId="20" fillId="15" borderId="140" xfId="0" applyFont="1" applyFill="1" applyBorder="1" applyAlignment="1" applyProtection="1">
      <alignment horizontal="center" vertical="center"/>
      <protection hidden="1"/>
    </xf>
    <xf numFmtId="0" fontId="20" fillId="15" borderId="141" xfId="0" applyFont="1" applyFill="1" applyBorder="1" applyAlignment="1" applyProtection="1">
      <alignment horizontal="center" vertical="center"/>
      <protection hidden="1"/>
    </xf>
    <xf numFmtId="0" fontId="20" fillId="15" borderId="142" xfId="0" applyFont="1" applyFill="1" applyBorder="1" applyAlignment="1" applyProtection="1">
      <alignment horizontal="center" vertical="center"/>
      <protection hidden="1"/>
    </xf>
    <xf numFmtId="0" fontId="2" fillId="8" borderId="90" xfId="0" quotePrefix="1" applyFont="1" applyFill="1" applyBorder="1" applyAlignment="1" applyProtection="1">
      <alignment vertical="top" wrapText="1"/>
      <protection hidden="1"/>
    </xf>
    <xf numFmtId="0" fontId="0" fillId="8" borderId="0" xfId="0" applyFill="1" applyAlignment="1" applyProtection="1">
      <alignment wrapText="1"/>
      <protection hidden="1"/>
    </xf>
    <xf numFmtId="0" fontId="0" fillId="8" borderId="91" xfId="0" applyFill="1" applyBorder="1" applyAlignment="1" applyProtection="1">
      <alignment wrapText="1"/>
      <protection hidden="1"/>
    </xf>
    <xf numFmtId="0" fontId="0" fillId="8" borderId="90" xfId="0" applyFill="1" applyBorder="1" applyAlignment="1" applyProtection="1">
      <alignment wrapText="1"/>
      <protection hidden="1"/>
    </xf>
    <xf numFmtId="0" fontId="0" fillId="8" borderId="124" xfId="0" applyFill="1" applyBorder="1" applyAlignment="1" applyProtection="1">
      <alignment wrapText="1"/>
      <protection hidden="1"/>
    </xf>
    <xf numFmtId="0" fontId="0" fillId="8" borderId="125" xfId="0" applyFill="1" applyBorder="1" applyAlignment="1" applyProtection="1">
      <alignment wrapText="1"/>
      <protection hidden="1"/>
    </xf>
    <xf numFmtId="0" fontId="0" fillId="8" borderId="126" xfId="0" applyFill="1" applyBorder="1" applyAlignment="1" applyProtection="1">
      <alignment wrapText="1"/>
      <protection hidden="1"/>
    </xf>
    <xf numFmtId="0" fontId="20" fillId="16" borderId="143" xfId="0" applyFont="1" applyFill="1" applyBorder="1" applyAlignment="1" applyProtection="1">
      <alignment horizontal="center" vertical="center"/>
      <protection hidden="1"/>
    </xf>
    <xf numFmtId="0" fontId="27" fillId="0" borderId="144" xfId="0" applyFont="1" applyBorder="1" applyProtection="1">
      <protection hidden="1"/>
    </xf>
    <xf numFmtId="0" fontId="27" fillId="0" borderId="145" xfId="0" applyFont="1" applyBorder="1" applyProtection="1">
      <protection hidden="1"/>
    </xf>
    <xf numFmtId="0" fontId="40" fillId="0" borderId="0" xfId="0" applyFont="1" applyAlignment="1" applyProtection="1">
      <alignment vertical="top"/>
      <protection hidden="1"/>
    </xf>
    <xf numFmtId="0" fontId="42" fillId="14" borderId="150" xfId="0" applyFont="1" applyFill="1" applyBorder="1" applyAlignment="1" applyProtection="1">
      <alignment horizontal="center" vertical="center"/>
      <protection hidden="1"/>
    </xf>
    <xf numFmtId="0" fontId="41" fillId="14" borderId="151" xfId="0" applyFont="1" applyFill="1" applyBorder="1" applyAlignment="1" applyProtection="1">
      <alignment horizontal="center" vertical="center"/>
      <protection hidden="1"/>
    </xf>
    <xf numFmtId="0" fontId="41" fillId="14" borderId="152" xfId="0" applyFont="1" applyFill="1" applyBorder="1" applyAlignment="1" applyProtection="1">
      <alignment horizontal="center" vertical="center"/>
      <protection hidden="1"/>
    </xf>
    <xf numFmtId="0" fontId="42" fillId="14" borderId="151" xfId="0" applyFont="1" applyFill="1" applyBorder="1" applyAlignment="1" applyProtection="1">
      <alignment horizontal="center" vertical="center"/>
      <protection hidden="1"/>
    </xf>
    <xf numFmtId="0" fontId="42" fillId="14" borderId="152" xfId="0" applyFont="1" applyFill="1" applyBorder="1" applyAlignment="1" applyProtection="1">
      <alignment horizontal="center" vertical="center"/>
      <protection hidden="1"/>
    </xf>
    <xf numFmtId="0" fontId="35" fillId="4" borderId="0" xfId="0" applyFont="1" applyFill="1" applyAlignment="1" applyProtection="1">
      <alignment horizontal="center" vertical="top"/>
      <protection hidden="1"/>
    </xf>
    <xf numFmtId="0" fontId="0" fillId="0" borderId="0" xfId="0" applyProtection="1">
      <protection hidden="1"/>
    </xf>
    <xf numFmtId="0" fontId="35" fillId="4" borderId="0" xfId="0" applyFont="1" applyFill="1" applyAlignment="1" applyProtection="1">
      <alignment horizontal="center"/>
      <protection hidden="1"/>
    </xf>
    <xf numFmtId="0" fontId="0" fillId="11" borderId="9" xfId="0" applyFill="1" applyBorder="1" applyAlignment="1" applyProtection="1">
      <alignment horizontal="center" vertical="center"/>
      <protection hidden="1"/>
    </xf>
    <xf numFmtId="0" fontId="0" fillId="11" borderId="31" xfId="0" applyFill="1" applyBorder="1" applyAlignment="1" applyProtection="1">
      <alignment horizontal="center" vertical="center"/>
      <protection hidden="1"/>
    </xf>
    <xf numFmtId="0" fontId="0" fillId="11" borderId="9" xfId="0" applyFill="1" applyBorder="1" applyProtection="1">
      <protection hidden="1"/>
    </xf>
    <xf numFmtId="0" fontId="2" fillId="11" borderId="9" xfId="0" applyFont="1" applyFill="1" applyBorder="1" applyAlignment="1" applyProtection="1">
      <alignment horizontal="center" vertical="center"/>
      <protection hidden="1"/>
    </xf>
    <xf numFmtId="0" fontId="0" fillId="12" borderId="9" xfId="0" applyFill="1" applyBorder="1" applyAlignment="1" applyProtection="1">
      <alignment horizontal="center" vertical="center"/>
      <protection hidden="1"/>
    </xf>
    <xf numFmtId="0" fontId="0" fillId="17" borderId="9" xfId="0" applyFill="1" applyBorder="1" applyAlignment="1" applyProtection="1">
      <alignment horizontal="center" vertical="center"/>
      <protection hidden="1"/>
    </xf>
    <xf numFmtId="0" fontId="0" fillId="11" borderId="45" xfId="0" applyFill="1" applyBorder="1" applyAlignment="1" applyProtection="1">
      <alignment horizontal="center" vertical="center"/>
      <protection hidden="1"/>
    </xf>
    <xf numFmtId="0" fontId="0" fillId="0" borderId="0" xfId="0" applyAlignment="1" applyProtection="1">
      <alignment horizontal="center" vertical="center"/>
      <protection hidden="1"/>
    </xf>
    <xf numFmtId="0" fontId="32" fillId="0" borderId="0" xfId="0" applyFont="1" applyAlignment="1" applyProtection="1">
      <alignment horizontal="left" vertical="center"/>
      <protection hidden="1"/>
    </xf>
    <xf numFmtId="0" fontId="0" fillId="0" borderId="17" xfId="0" applyBorder="1" applyAlignment="1" applyProtection="1">
      <alignment horizontal="center" vertical="center"/>
      <protection hidden="1"/>
    </xf>
    <xf numFmtId="0" fontId="36" fillId="0" borderId="146" xfId="0" applyFont="1" applyBorder="1" applyAlignment="1" applyProtection="1">
      <alignment horizontal="center" vertical="center"/>
      <protection hidden="1"/>
    </xf>
    <xf numFmtId="0" fontId="0" fillId="0" borderId="146" xfId="0" applyBorder="1" applyAlignment="1" applyProtection="1">
      <alignment horizontal="center" vertical="center"/>
      <protection hidden="1"/>
    </xf>
    <xf numFmtId="0" fontId="37" fillId="0" borderId="0" xfId="0" applyFont="1" applyAlignment="1" applyProtection="1">
      <alignment vertical="top" wrapText="1"/>
      <protection hidden="1"/>
    </xf>
    <xf numFmtId="0" fontId="0" fillId="0" borderId="0" xfId="0" applyAlignment="1" applyProtection="1">
      <alignment wrapText="1"/>
      <protection hidden="1"/>
    </xf>
    <xf numFmtId="0" fontId="0" fillId="17" borderId="45" xfId="0" applyFill="1" applyBorder="1" applyAlignment="1" applyProtection="1">
      <alignment horizontal="center" vertical="center"/>
      <protection hidden="1"/>
    </xf>
    <xf numFmtId="0" fontId="31" fillId="5" borderId="0" xfId="1" applyFont="1" applyFill="1" applyAlignment="1" applyProtection="1">
      <alignment horizontal="center" vertical="center"/>
      <protection hidden="1"/>
    </xf>
    <xf numFmtId="0" fontId="27" fillId="0" borderId="31" xfId="0" applyFont="1" applyBorder="1" applyAlignment="1" applyProtection="1">
      <alignment horizontal="center" vertical="center" textRotation="90"/>
      <protection hidden="1"/>
    </xf>
    <xf numFmtId="0" fontId="34" fillId="0" borderId="0" xfId="0" applyFont="1" applyAlignment="1" applyProtection="1">
      <alignment horizontal="right" vertical="center"/>
      <protection hidden="1"/>
    </xf>
    <xf numFmtId="0" fontId="0" fillId="17" borderId="31" xfId="0" applyFill="1" applyBorder="1" applyAlignment="1" applyProtection="1">
      <alignment horizontal="center" vertical="center"/>
      <protection hidden="1"/>
    </xf>
    <xf numFmtId="0" fontId="0" fillId="0" borderId="132" xfId="0" applyBorder="1" applyProtection="1">
      <protection hidden="1"/>
    </xf>
    <xf numFmtId="0" fontId="33" fillId="0" borderId="132" xfId="0" applyFont="1" applyBorder="1" applyAlignment="1" applyProtection="1">
      <alignment horizontal="center" vertical="center"/>
      <protection hidden="1"/>
    </xf>
    <xf numFmtId="0" fontId="33" fillId="0" borderId="0" xfId="0" applyFont="1" applyAlignment="1" applyProtection="1">
      <alignment horizontal="center" vertical="center"/>
      <protection hidden="1"/>
    </xf>
    <xf numFmtId="0" fontId="1" fillId="0" borderId="101" xfId="0" applyFont="1" applyBorder="1" applyAlignment="1" applyProtection="1">
      <alignment horizontal="center"/>
      <protection hidden="1"/>
    </xf>
    <xf numFmtId="0" fontId="0" fillId="0" borderId="129" xfId="0" applyBorder="1" applyProtection="1">
      <protection hidden="1"/>
    </xf>
    <xf numFmtId="0" fontId="1" fillId="0" borderId="49" xfId="0" applyFont="1" applyBorder="1" applyAlignment="1" applyProtection="1">
      <alignment horizontal="center"/>
      <protection hidden="1"/>
    </xf>
    <xf numFmtId="0" fontId="1" fillId="0" borderId="132" xfId="0" applyFont="1" applyBorder="1" applyAlignment="1" applyProtection="1">
      <alignment horizontal="center"/>
      <protection hidden="1"/>
    </xf>
    <xf numFmtId="0" fontId="1" fillId="0" borderId="50" xfId="0" applyFont="1" applyBorder="1" applyAlignment="1" applyProtection="1">
      <alignment horizontal="center"/>
      <protection hidden="1"/>
    </xf>
    <xf numFmtId="0" fontId="48" fillId="0" borderId="51" xfId="0" applyFont="1" applyBorder="1" applyAlignment="1" applyProtection="1">
      <alignment horizontal="center" vertical="top"/>
      <protection hidden="1"/>
    </xf>
    <xf numFmtId="0" fontId="48" fillId="0" borderId="101" xfId="0" applyFont="1" applyBorder="1" applyAlignment="1" applyProtection="1">
      <alignment horizontal="center" vertical="top"/>
      <protection hidden="1"/>
    </xf>
    <xf numFmtId="0" fontId="48" fillId="0" borderId="52" xfId="0" applyFont="1" applyBorder="1" applyAlignment="1" applyProtection="1">
      <alignment horizontal="center" vertical="top"/>
      <protection hidden="1"/>
    </xf>
    <xf numFmtId="0" fontId="29" fillId="0" borderId="0" xfId="0" applyFont="1" applyAlignment="1" applyProtection="1">
      <alignment horizontal="center"/>
      <protection hidden="1"/>
    </xf>
    <xf numFmtId="0" fontId="17" fillId="0" borderId="109" xfId="0" applyFont="1" applyBorder="1" applyProtection="1">
      <protection hidden="1"/>
    </xf>
    <xf numFmtId="0" fontId="13" fillId="0" borderId="0" xfId="0" applyFont="1" applyAlignment="1" applyProtection="1">
      <alignment horizontal="center" vertical="center" textRotation="90"/>
      <protection hidden="1"/>
    </xf>
    <xf numFmtId="0" fontId="14" fillId="8" borderId="57" xfId="0" applyFont="1" applyFill="1" applyBorder="1" applyAlignment="1" applyProtection="1">
      <alignment horizontal="center" vertical="center"/>
      <protection hidden="1"/>
    </xf>
    <xf numFmtId="0" fontId="2" fillId="16" borderId="143" xfId="0" applyFont="1" applyFill="1" applyBorder="1" applyAlignment="1" applyProtection="1">
      <alignment horizontal="center" vertical="center"/>
      <protection hidden="1"/>
    </xf>
    <xf numFmtId="0" fontId="2" fillId="16" borderId="145" xfId="0" applyFont="1" applyFill="1" applyBorder="1" applyAlignment="1" applyProtection="1">
      <alignment horizontal="center" vertical="center"/>
      <protection hidden="1"/>
    </xf>
    <xf numFmtId="0" fontId="0" fillId="16" borderId="64" xfId="0" applyFill="1" applyBorder="1" applyAlignment="1" applyProtection="1">
      <alignment horizontal="center" vertical="center"/>
      <protection hidden="1"/>
    </xf>
    <xf numFmtId="0" fontId="0" fillId="16" borderId="65" xfId="0" applyFill="1" applyBorder="1" applyAlignment="1" applyProtection="1">
      <alignment horizontal="center" vertical="center"/>
      <protection hidden="1"/>
    </xf>
    <xf numFmtId="0" fontId="2" fillId="16" borderId="153" xfId="0" applyFont="1" applyFill="1" applyBorder="1" applyAlignment="1" applyProtection="1">
      <alignment horizontal="center" vertical="center"/>
      <protection hidden="1"/>
    </xf>
    <xf numFmtId="0" fontId="0" fillId="0" borderId="154" xfId="0" applyBorder="1" applyAlignment="1" applyProtection="1">
      <alignment horizontal="center" vertical="center"/>
      <protection hidden="1"/>
    </xf>
    <xf numFmtId="0" fontId="0" fillId="0" borderId="155" xfId="0" applyBorder="1" applyProtection="1">
      <protection hidden="1"/>
    </xf>
    <xf numFmtId="0" fontId="18" fillId="16" borderId="90" xfId="0" applyFont="1" applyFill="1" applyBorder="1" applyAlignment="1" applyProtection="1">
      <alignment horizontal="center" vertical="center"/>
      <protection hidden="1"/>
    </xf>
    <xf numFmtId="0" fontId="18" fillId="0" borderId="0" xfId="0" applyFont="1" applyAlignment="1" applyProtection="1">
      <alignment horizontal="center" vertical="center"/>
      <protection hidden="1"/>
    </xf>
    <xf numFmtId="0" fontId="18" fillId="0" borderId="91" xfId="0" applyFont="1" applyBorder="1" applyProtection="1">
      <protection hidden="1"/>
    </xf>
    <xf numFmtId="0" fontId="13" fillId="9" borderId="0" xfId="0" applyFont="1" applyFill="1" applyAlignment="1" applyProtection="1">
      <alignment horizontal="center" vertical="center" textRotation="90"/>
      <protection hidden="1"/>
    </xf>
    <xf numFmtId="0" fontId="2" fillId="16" borderId="64" xfId="0" applyFont="1" applyFill="1" applyBorder="1" applyAlignment="1" applyProtection="1">
      <alignment horizontal="center" vertical="center"/>
      <protection hidden="1"/>
    </xf>
    <xf numFmtId="0" fontId="2" fillId="16" borderId="65" xfId="0" applyFont="1" applyFill="1" applyBorder="1" applyAlignment="1" applyProtection="1">
      <alignment horizontal="center" vertical="center"/>
      <protection hidden="1"/>
    </xf>
    <xf numFmtId="0" fontId="24" fillId="8" borderId="0" xfId="0" applyFont="1" applyFill="1" applyAlignment="1" applyProtection="1">
      <alignment horizontal="center" vertical="center"/>
      <protection hidden="1"/>
    </xf>
    <xf numFmtId="0" fontId="0" fillId="0" borderId="131" xfId="0" applyBorder="1" applyAlignment="1">
      <alignment horizontal="left" vertical="center"/>
    </xf>
    <xf numFmtId="0" fontId="44" fillId="0" borderId="115" xfId="1" applyFont="1" applyBorder="1" applyAlignment="1" applyProtection="1">
      <alignment vertical="center"/>
      <protection hidden="1"/>
    </xf>
    <xf numFmtId="0" fontId="44" fillId="0" borderId="115" xfId="0" applyFont="1" applyBorder="1" applyAlignment="1" applyProtection="1">
      <alignment horizontal="right" vertical="center"/>
      <protection hidden="1"/>
    </xf>
    <xf numFmtId="0" fontId="37" fillId="0" borderId="115" xfId="0" applyFont="1" applyBorder="1" applyAlignment="1" applyProtection="1">
      <alignment horizontal="right" vertical="center"/>
      <protection hidden="1"/>
    </xf>
    <xf numFmtId="0" fontId="2" fillId="0" borderId="148" xfId="0" applyFont="1" applyBorder="1" applyAlignment="1" applyProtection="1">
      <alignment horizontal="left" vertical="center"/>
      <protection hidden="1"/>
    </xf>
    <xf numFmtId="0" fontId="18" fillId="0" borderId="109" xfId="0" applyFont="1" applyBorder="1" applyAlignment="1" applyProtection="1">
      <alignment horizontal="left" vertical="center"/>
      <protection hidden="1"/>
    </xf>
    <xf numFmtId="0" fontId="37" fillId="0" borderId="115" xfId="1" applyFont="1" applyBorder="1" applyAlignment="1" applyProtection="1">
      <alignment vertical="center"/>
      <protection hidden="1"/>
    </xf>
    <xf numFmtId="0" fontId="7" fillId="8" borderId="143" xfId="0" applyFont="1" applyFill="1" applyBorder="1" applyAlignment="1">
      <alignment horizontal="center" vertical="center"/>
    </xf>
    <xf numFmtId="0" fontId="7" fillId="8" borderId="144" xfId="0" applyFont="1" applyFill="1" applyBorder="1" applyAlignment="1">
      <alignment horizontal="center" vertical="center"/>
    </xf>
    <xf numFmtId="0" fontId="7" fillId="8" borderId="145" xfId="0" applyFont="1" applyFill="1" applyBorder="1" applyAlignment="1">
      <alignment horizontal="center" vertical="center"/>
    </xf>
    <xf numFmtId="0" fontId="4" fillId="2" borderId="156" xfId="0" applyFont="1" applyFill="1" applyBorder="1" applyAlignment="1">
      <alignment horizontal="center" wrapText="1"/>
    </xf>
    <xf numFmtId="0" fontId="4" fillId="2" borderId="157" xfId="0" applyFont="1" applyFill="1" applyBorder="1" applyAlignment="1">
      <alignment horizontal="center" wrapText="1"/>
    </xf>
    <xf numFmtId="0" fontId="4" fillId="2" borderId="158" xfId="0" applyFont="1" applyFill="1" applyBorder="1" applyAlignment="1">
      <alignment horizontal="center" wrapText="1"/>
    </xf>
    <xf numFmtId="0" fontId="4" fillId="2" borderId="159" xfId="0" applyFont="1" applyFill="1" applyBorder="1" applyAlignment="1">
      <alignment horizontal="center" wrapText="1"/>
    </xf>
    <xf numFmtId="0" fontId="4" fillId="2" borderId="5" xfId="0" applyFont="1" applyFill="1" applyBorder="1" applyAlignment="1">
      <alignment horizontal="center" wrapText="1"/>
    </xf>
    <xf numFmtId="0" fontId="4" fillId="2" borderId="6" xfId="0" applyFont="1" applyFill="1" applyBorder="1" applyAlignment="1">
      <alignment horizontal="center" wrapText="1"/>
    </xf>
    <xf numFmtId="0" fontId="4" fillId="2" borderId="4" xfId="0" applyFont="1" applyFill="1" applyBorder="1" applyAlignment="1">
      <alignment horizontal="center" wrapText="1"/>
    </xf>
    <xf numFmtId="0" fontId="4" fillId="2" borderId="160" xfId="0" applyFont="1" applyFill="1" applyBorder="1" applyAlignment="1">
      <alignment horizontal="center" wrapText="1"/>
    </xf>
    <xf numFmtId="0" fontId="4" fillId="2" borderId="161" xfId="0" applyFont="1" applyFill="1" applyBorder="1" applyAlignment="1">
      <alignment horizontal="center" wrapText="1"/>
    </xf>
    <xf numFmtId="0" fontId="2" fillId="5" borderId="23" xfId="0" applyFont="1" applyFill="1" applyBorder="1" applyAlignment="1">
      <alignment horizontal="center" vertical="center"/>
    </xf>
    <xf numFmtId="0" fontId="2" fillId="5" borderId="24" xfId="0" applyFont="1" applyFill="1" applyBorder="1" applyAlignment="1">
      <alignment horizontal="center" vertical="center"/>
    </xf>
    <xf numFmtId="0" fontId="0" fillId="4" borderId="22" xfId="0" applyFill="1" applyBorder="1" applyAlignment="1">
      <alignment horizontal="center" vertical="center"/>
    </xf>
    <xf numFmtId="0" fontId="0" fillId="4" borderId="23" xfId="0" applyFill="1" applyBorder="1" applyAlignment="1">
      <alignment horizontal="center" vertical="center"/>
    </xf>
    <xf numFmtId="0" fontId="0" fillId="0" borderId="162" xfId="0" applyBorder="1" applyAlignment="1">
      <alignment horizontal="center" vertical="center"/>
    </xf>
    <xf numFmtId="0" fontId="0" fillId="0" borderId="163" xfId="0" applyBorder="1" applyAlignment="1">
      <alignment horizontal="center" vertical="center"/>
    </xf>
    <xf numFmtId="0" fontId="0" fillId="0" borderId="164" xfId="0" applyBorder="1" applyAlignment="1">
      <alignment horizontal="center" vertical="center"/>
    </xf>
    <xf numFmtId="0" fontId="0" fillId="0" borderId="46" xfId="0" applyBorder="1" applyAlignment="1">
      <alignment horizontal="center" textRotation="90"/>
    </xf>
    <xf numFmtId="0" fontId="0" fillId="0" borderId="31" xfId="0" applyBorder="1" applyAlignment="1">
      <alignment horizontal="center" textRotation="90"/>
    </xf>
    <xf numFmtId="0" fontId="26" fillId="0" borderId="49" xfId="0" applyFont="1" applyBorder="1" applyAlignment="1">
      <alignment horizontal="center" textRotation="90"/>
    </xf>
    <xf numFmtId="0" fontId="26" fillId="0" borderId="50" xfId="0" applyFont="1" applyBorder="1"/>
    <xf numFmtId="0" fontId="26" fillId="0" borderId="17" xfId="0" applyFont="1" applyBorder="1" applyAlignment="1">
      <alignment horizontal="center" textRotation="90"/>
    </xf>
    <xf numFmtId="0" fontId="26" fillId="0" borderId="48" xfId="0" applyFont="1" applyBorder="1"/>
    <xf numFmtId="0" fontId="0" fillId="0" borderId="45" xfId="0" applyBorder="1" applyAlignment="1">
      <alignment horizontal="center" textRotation="90"/>
    </xf>
    <xf numFmtId="0" fontId="0" fillId="0" borderId="165" xfId="0" applyBorder="1" applyAlignment="1">
      <alignment horizontal="center" textRotation="90"/>
    </xf>
    <xf numFmtId="0" fontId="0" fillId="0" borderId="166" xfId="0" applyBorder="1" applyAlignment="1">
      <alignment horizontal="center" textRotation="90"/>
    </xf>
    <xf numFmtId="0" fontId="0" fillId="0" borderId="101" xfId="0" applyBorder="1" applyAlignment="1">
      <alignment horizontal="center"/>
    </xf>
    <xf numFmtId="0" fontId="0" fillId="0" borderId="167" xfId="0" applyBorder="1" applyAlignment="1">
      <alignment horizontal="center" vertical="center"/>
    </xf>
    <xf numFmtId="0" fontId="0" fillId="0" borderId="168" xfId="0" applyBorder="1" applyAlignment="1">
      <alignment horizontal="center" vertical="center"/>
    </xf>
    <xf numFmtId="0" fontId="0" fillId="0" borderId="169" xfId="0" applyBorder="1" applyAlignment="1">
      <alignment horizontal="center" vertical="center"/>
    </xf>
  </cellXfs>
  <cellStyles count="2">
    <cellStyle name="Hyperlink" xfId="1" builtinId="8"/>
    <cellStyle name="Normal" xfId="0" builtinId="0"/>
  </cellStyles>
  <dxfs count="31">
    <dxf>
      <border>
        <bottom style="thin">
          <color indexed="46"/>
        </bottom>
      </border>
    </dxf>
    <dxf>
      <fill>
        <patternFill>
          <bgColor indexed="10"/>
        </patternFill>
      </fill>
    </dxf>
    <dxf>
      <fill>
        <patternFill>
          <bgColor indexed="11"/>
        </patternFill>
      </fill>
    </dxf>
    <dxf>
      <border>
        <bottom style="thin">
          <color indexed="46"/>
        </bottom>
      </border>
    </dxf>
    <dxf>
      <fill>
        <patternFill>
          <bgColor indexed="10"/>
        </patternFill>
      </fill>
    </dxf>
    <dxf>
      <fill>
        <patternFill>
          <bgColor indexed="11"/>
        </patternFill>
      </fill>
    </dxf>
    <dxf>
      <fill>
        <patternFill>
          <bgColor indexed="26"/>
        </patternFill>
      </fill>
    </dxf>
    <dxf>
      <fill>
        <patternFill>
          <bgColor indexed="26"/>
        </patternFill>
      </fill>
    </dxf>
    <dxf>
      <fill>
        <patternFill patternType="lightDown">
          <bgColor indexed="43"/>
        </patternFill>
      </fill>
    </dxf>
    <dxf>
      <fill>
        <patternFill patternType="lightDown">
          <bgColor indexed="43"/>
        </patternFill>
      </fill>
    </dxf>
    <dxf>
      <fill>
        <patternFill patternType="lightDown">
          <bgColor indexed="43"/>
        </patternFill>
      </fill>
    </dxf>
    <dxf>
      <fill>
        <patternFill patternType="lightDown">
          <bgColor indexed="43"/>
        </patternFill>
      </fill>
    </dxf>
    <dxf>
      <fill>
        <patternFill patternType="lightUp">
          <bgColor indexed="43"/>
        </patternFill>
      </fill>
    </dxf>
    <dxf>
      <fill>
        <patternFill patternType="lightUp">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3"/>
        </patternFill>
      </fill>
      <border>
        <left style="thin">
          <color indexed="10"/>
        </left>
        <right style="thin">
          <color indexed="10"/>
        </right>
        <top style="thin">
          <color indexed="10"/>
        </top>
        <bottom style="thin">
          <color indexed="10"/>
        </bottom>
      </border>
    </dxf>
    <dxf>
      <font>
        <condense val="0"/>
        <extend val="0"/>
        <color auto="1"/>
      </font>
      <fill>
        <patternFill patternType="lightDown">
          <bgColor indexed="43"/>
        </patternFill>
      </fill>
    </dxf>
    <dxf>
      <fill>
        <patternFill patternType="lightUp">
          <bgColor indexed="43"/>
        </patternFill>
      </fill>
    </dxf>
    <dxf>
      <fill>
        <patternFill patternType="none">
          <bgColor indexed="65"/>
        </patternFill>
      </fill>
      <border>
        <bottom style="thin">
          <color indexed="48"/>
        </bottom>
      </border>
    </dxf>
    <dxf>
      <fill>
        <patternFill>
          <bgColor indexed="11"/>
        </patternFill>
      </fill>
    </dxf>
    <dxf>
      <fill>
        <patternFill>
          <bgColor indexed="10"/>
        </patternFill>
      </fill>
    </dxf>
    <dxf>
      <fill>
        <patternFill patternType="none">
          <bgColor indexed="65"/>
        </patternFill>
      </fill>
      <border>
        <bottom style="thin">
          <color indexed="48"/>
        </bottom>
      </border>
    </dxf>
    <dxf>
      <fill>
        <patternFill>
          <bgColor indexed="11"/>
        </patternFill>
      </fill>
    </dxf>
    <dxf>
      <fill>
        <patternFill>
          <bgColor indexed="1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http://www.tecnocentro.it/" TargetMode="External"/><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25</xdr:col>
      <xdr:colOff>198120</xdr:colOff>
      <xdr:row>31</xdr:row>
      <xdr:rowOff>68580</xdr:rowOff>
    </xdr:from>
    <xdr:to>
      <xdr:col>25</xdr:col>
      <xdr:colOff>198120</xdr:colOff>
      <xdr:row>33</xdr:row>
      <xdr:rowOff>144780</xdr:rowOff>
    </xdr:to>
    <xdr:sp macro="" textlink="">
      <xdr:nvSpPr>
        <xdr:cNvPr id="1047" name="Line 23">
          <a:extLst>
            <a:ext uri="{FF2B5EF4-FFF2-40B4-BE49-F238E27FC236}">
              <a16:creationId xmlns:a16="http://schemas.microsoft.com/office/drawing/2014/main" id="{00000000-0008-0000-0000-000017040000}"/>
            </a:ext>
          </a:extLst>
        </xdr:cNvPr>
        <xdr:cNvSpPr>
          <a:spLocks noChangeShapeType="1"/>
        </xdr:cNvSpPr>
      </xdr:nvSpPr>
      <xdr:spPr bwMode="auto">
        <a:xfrm>
          <a:off x="4251960" y="3764280"/>
          <a:ext cx="0" cy="396240"/>
        </a:xfrm>
        <a:prstGeom prst="line">
          <a:avLst/>
        </a:prstGeom>
        <a:noFill/>
        <a:ln w="9525">
          <a:solidFill>
            <a:srgbClr val="000000"/>
          </a:solidFill>
          <a:round/>
          <a:headEnd/>
          <a:tailEnd type="triangle" w="med" len="med"/>
        </a:ln>
      </xdr:spPr>
    </xdr:sp>
    <xdr:clientData/>
  </xdr:twoCellAnchor>
  <xdr:twoCellAnchor>
    <xdr:from>
      <xdr:col>25</xdr:col>
      <xdr:colOff>205740</xdr:colOff>
      <xdr:row>24</xdr:row>
      <xdr:rowOff>7620</xdr:rowOff>
    </xdr:from>
    <xdr:to>
      <xdr:col>25</xdr:col>
      <xdr:colOff>205740</xdr:colOff>
      <xdr:row>27</xdr:row>
      <xdr:rowOff>83820</xdr:rowOff>
    </xdr:to>
    <xdr:sp macro="" textlink="">
      <xdr:nvSpPr>
        <xdr:cNvPr id="1048" name="Line 24">
          <a:extLst>
            <a:ext uri="{FF2B5EF4-FFF2-40B4-BE49-F238E27FC236}">
              <a16:creationId xmlns:a16="http://schemas.microsoft.com/office/drawing/2014/main" id="{00000000-0008-0000-0000-000018040000}"/>
            </a:ext>
          </a:extLst>
        </xdr:cNvPr>
        <xdr:cNvSpPr>
          <a:spLocks noChangeShapeType="1"/>
        </xdr:cNvSpPr>
      </xdr:nvSpPr>
      <xdr:spPr bwMode="auto">
        <a:xfrm flipV="1">
          <a:off x="4259580" y="2766060"/>
          <a:ext cx="0" cy="419100"/>
        </a:xfrm>
        <a:prstGeom prst="line">
          <a:avLst/>
        </a:prstGeom>
        <a:noFill/>
        <a:ln w="9525">
          <a:solidFill>
            <a:srgbClr val="000000"/>
          </a:solidFill>
          <a:round/>
          <a:headEnd/>
          <a:tailEnd type="triangle" w="med" len="med"/>
        </a:ln>
      </xdr:spPr>
    </xdr:sp>
    <xdr:clientData/>
  </xdr:twoCellAnchor>
  <xdr:twoCellAnchor>
    <xdr:from>
      <xdr:col>17</xdr:col>
      <xdr:colOff>198120</xdr:colOff>
      <xdr:row>24</xdr:row>
      <xdr:rowOff>7620</xdr:rowOff>
    </xdr:from>
    <xdr:to>
      <xdr:col>17</xdr:col>
      <xdr:colOff>198120</xdr:colOff>
      <xdr:row>27</xdr:row>
      <xdr:rowOff>106680</xdr:rowOff>
    </xdr:to>
    <xdr:sp macro="" textlink="">
      <xdr:nvSpPr>
        <xdr:cNvPr id="1068" name="Line 44">
          <a:extLst>
            <a:ext uri="{FF2B5EF4-FFF2-40B4-BE49-F238E27FC236}">
              <a16:creationId xmlns:a16="http://schemas.microsoft.com/office/drawing/2014/main" id="{00000000-0008-0000-0000-00002C040000}"/>
            </a:ext>
          </a:extLst>
        </xdr:cNvPr>
        <xdr:cNvSpPr>
          <a:spLocks noChangeShapeType="1"/>
        </xdr:cNvSpPr>
      </xdr:nvSpPr>
      <xdr:spPr bwMode="auto">
        <a:xfrm flipV="1">
          <a:off x="1973580" y="2766060"/>
          <a:ext cx="0" cy="441960"/>
        </a:xfrm>
        <a:prstGeom prst="line">
          <a:avLst/>
        </a:prstGeom>
        <a:noFill/>
        <a:ln w="9525">
          <a:solidFill>
            <a:srgbClr val="000000"/>
          </a:solidFill>
          <a:round/>
          <a:headEnd/>
          <a:tailEnd type="triangle" w="med" len="med"/>
        </a:ln>
      </xdr:spPr>
    </xdr:sp>
    <xdr:clientData/>
  </xdr:twoCellAnchor>
  <xdr:twoCellAnchor>
    <xdr:from>
      <xdr:col>17</xdr:col>
      <xdr:colOff>198120</xdr:colOff>
      <xdr:row>31</xdr:row>
      <xdr:rowOff>53340</xdr:rowOff>
    </xdr:from>
    <xdr:to>
      <xdr:col>17</xdr:col>
      <xdr:colOff>198120</xdr:colOff>
      <xdr:row>33</xdr:row>
      <xdr:rowOff>144780</xdr:rowOff>
    </xdr:to>
    <xdr:sp macro="" textlink="">
      <xdr:nvSpPr>
        <xdr:cNvPr id="1069" name="Line 45">
          <a:extLst>
            <a:ext uri="{FF2B5EF4-FFF2-40B4-BE49-F238E27FC236}">
              <a16:creationId xmlns:a16="http://schemas.microsoft.com/office/drawing/2014/main" id="{00000000-0008-0000-0000-00002D040000}"/>
            </a:ext>
          </a:extLst>
        </xdr:cNvPr>
        <xdr:cNvSpPr>
          <a:spLocks noChangeShapeType="1"/>
        </xdr:cNvSpPr>
      </xdr:nvSpPr>
      <xdr:spPr bwMode="auto">
        <a:xfrm>
          <a:off x="1973580" y="3749040"/>
          <a:ext cx="0" cy="411480"/>
        </a:xfrm>
        <a:prstGeom prst="line">
          <a:avLst/>
        </a:prstGeom>
        <a:noFill/>
        <a:ln w="9525">
          <a:solidFill>
            <a:srgbClr val="000000"/>
          </a:solidFill>
          <a:round/>
          <a:headEnd/>
          <a:tailEnd type="triangle" w="med" len="med"/>
        </a:ln>
      </xdr:spPr>
    </xdr:sp>
    <xdr:clientData/>
  </xdr:twoCellAnchor>
  <xdr:twoCellAnchor editAs="oneCell">
    <xdr:from>
      <xdr:col>95</xdr:col>
      <xdr:colOff>152400</xdr:colOff>
      <xdr:row>32</xdr:row>
      <xdr:rowOff>114300</xdr:rowOff>
    </xdr:from>
    <xdr:to>
      <xdr:col>103</xdr:col>
      <xdr:colOff>55245</xdr:colOff>
      <xdr:row>33</xdr:row>
      <xdr:rowOff>17145</xdr:rowOff>
    </xdr:to>
    <xdr:pic>
      <xdr:nvPicPr>
        <xdr:cNvPr id="1130" name="Picture 106" descr="freccialungasx">
          <a:extLst>
            <a:ext uri="{FF2B5EF4-FFF2-40B4-BE49-F238E27FC236}">
              <a16:creationId xmlns:a16="http://schemas.microsoft.com/office/drawing/2014/main" id="{00000000-0008-0000-0000-00006A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7170360" y="3970020"/>
          <a:ext cx="1196340" cy="76200"/>
        </a:xfrm>
        <a:prstGeom prst="rect">
          <a:avLst/>
        </a:prstGeom>
        <a:noFill/>
      </xdr:spPr>
    </xdr:pic>
    <xdr:clientData/>
  </xdr:twoCellAnchor>
  <xdr:twoCellAnchor editAs="oneCell">
    <xdr:from>
      <xdr:col>120</xdr:col>
      <xdr:colOff>106680</xdr:colOff>
      <xdr:row>32</xdr:row>
      <xdr:rowOff>114300</xdr:rowOff>
    </xdr:from>
    <xdr:to>
      <xdr:col>128</xdr:col>
      <xdr:colOff>17145</xdr:colOff>
      <xdr:row>33</xdr:row>
      <xdr:rowOff>17145</xdr:rowOff>
    </xdr:to>
    <xdr:pic>
      <xdr:nvPicPr>
        <xdr:cNvPr id="1131" name="Picture 107" descr="freccialungadx">
          <a:extLst>
            <a:ext uri="{FF2B5EF4-FFF2-40B4-BE49-F238E27FC236}">
              <a16:creationId xmlns:a16="http://schemas.microsoft.com/office/drawing/2014/main" id="{00000000-0008-0000-0000-00006B04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1125140" y="3970020"/>
          <a:ext cx="1203960" cy="76200"/>
        </a:xfrm>
        <a:prstGeom prst="rect">
          <a:avLst/>
        </a:prstGeom>
        <a:noFill/>
      </xdr:spPr>
    </xdr:pic>
    <xdr:clientData/>
  </xdr:twoCellAnchor>
  <xdr:twoCellAnchor editAs="oneCell">
    <xdr:from>
      <xdr:col>14</xdr:col>
      <xdr:colOff>68580</xdr:colOff>
      <xdr:row>3</xdr:row>
      <xdr:rowOff>7620</xdr:rowOff>
    </xdr:from>
    <xdr:to>
      <xdr:col>28</xdr:col>
      <xdr:colOff>358140</xdr:colOff>
      <xdr:row>5</xdr:row>
      <xdr:rowOff>53340</xdr:rowOff>
    </xdr:to>
    <xdr:pic>
      <xdr:nvPicPr>
        <xdr:cNvPr id="1143" name="Picture 119" descr="logo_tecnocentro_60">
          <a:hlinkClick xmlns:r="http://schemas.openxmlformats.org/officeDocument/2006/relationships" r:id="rId3"/>
          <a:extLst>
            <a:ext uri="{FF2B5EF4-FFF2-40B4-BE49-F238E27FC236}">
              <a16:creationId xmlns:a16="http://schemas.microsoft.com/office/drawing/2014/main" id="{00000000-0008-0000-0000-00007704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868680" y="53340"/>
          <a:ext cx="4533900" cy="45720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tecnocentro.it/" TargetMode="External"/><Relationship Id="rId2" Type="http://schemas.openxmlformats.org/officeDocument/2006/relationships/hyperlink" Target="mailto:attili@tecnocentro.it?subject=Programma%20di%20visualizzazione%20toleranze%20accoppiamenti..." TargetMode="External"/><Relationship Id="rId1" Type="http://schemas.openxmlformats.org/officeDocument/2006/relationships/hyperlink" Target="http://www.tecnocentro.it/tables_ita/accoppiamenti/tolleranze.htm"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T161"/>
  <sheetViews>
    <sheetView showGridLines="0" showRowColHeaders="0" tabSelected="1" showOutlineSymbols="0" topLeftCell="L3" zoomScale="228" zoomScaleNormal="109" workbookViewId="0">
      <selection activeCell="N57" sqref="N57:AD57"/>
    </sheetView>
  </sheetViews>
  <sheetFormatPr defaultColWidth="2.44140625" defaultRowHeight="13.2" x14ac:dyDescent="0.25"/>
  <cols>
    <col min="1" max="2" width="8.6640625" style="157" hidden="1" customWidth="1"/>
    <col min="3" max="3" width="5.33203125" style="157" hidden="1" customWidth="1"/>
    <col min="4" max="5" width="4.44140625" style="157" hidden="1" customWidth="1"/>
    <col min="6" max="6" width="3.44140625" style="157" hidden="1" customWidth="1"/>
    <col min="7" max="11" width="3.6640625" style="157" hidden="1" customWidth="1"/>
    <col min="12" max="12" width="2.6640625" style="157" customWidth="1"/>
    <col min="13" max="13" width="2.44140625" style="157" customWidth="1"/>
    <col min="14" max="14" width="6.44140625" style="157" customWidth="1"/>
    <col min="15" max="15" width="5.6640625" style="157" customWidth="1"/>
    <col min="16" max="16" width="3" style="157" customWidth="1"/>
    <col min="17" max="17" width="5.6640625" style="157" customWidth="1"/>
    <col min="18" max="19" width="6" style="157" customWidth="1"/>
    <col min="20" max="20" width="1.44140625" style="157" customWidth="1"/>
    <col min="21" max="21" width="5.109375" style="157" customWidth="1"/>
    <col min="22" max="22" width="2" style="157" customWidth="1"/>
    <col min="23" max="23" width="5.109375" style="157" customWidth="1"/>
    <col min="24" max="24" width="1.44140625" style="157" customWidth="1"/>
    <col min="25" max="26" width="6" style="157" customWidth="1"/>
    <col min="27" max="27" width="5.6640625" style="157" customWidth="1"/>
    <col min="28" max="28" width="3" style="157" customWidth="1"/>
    <col min="29" max="29" width="5.6640625" style="157" customWidth="1"/>
    <col min="30" max="30" width="6.44140625" style="157" customWidth="1"/>
    <col min="31" max="31" width="2.6640625" style="157" customWidth="1"/>
    <col min="32" max="33" width="3.44140625" style="157" customWidth="1"/>
    <col min="34" max="41" width="7.33203125" style="157" customWidth="1"/>
    <col min="42" max="50" width="6.6640625" style="157" customWidth="1"/>
    <col min="51" max="51" width="3" style="157" customWidth="1"/>
    <col min="52" max="52" width="5.6640625" style="157" customWidth="1"/>
    <col min="53" max="78" width="10.6640625" style="157" customWidth="1"/>
    <col min="79" max="147" width="2.44140625" style="157" customWidth="1"/>
    <col min="148" max="157" width="9" style="157" customWidth="1"/>
    <col min="158" max="16384" width="2.44140625" style="157"/>
  </cols>
  <sheetData>
    <row r="1" spans="1:145" ht="6" hidden="1" customHeight="1" x14ac:dyDescent="0.25"/>
    <row r="2" spans="1:145" ht="6" hidden="1" customHeight="1" x14ac:dyDescent="0.25">
      <c r="CA2" s="365"/>
      <c r="CB2" s="365"/>
      <c r="CC2" s="365"/>
      <c r="CD2" s="365"/>
      <c r="CE2" s="365"/>
      <c r="CF2" s="365"/>
      <c r="CG2" s="365"/>
      <c r="CH2" s="365"/>
      <c r="CI2" s="365"/>
      <c r="CJ2" s="365"/>
      <c r="CK2" s="365"/>
      <c r="CL2" s="365"/>
      <c r="CM2" s="365"/>
      <c r="CN2" s="365"/>
      <c r="CO2" s="365"/>
      <c r="CP2" s="365"/>
      <c r="CQ2" s="365"/>
      <c r="CR2" s="365"/>
      <c r="CS2" s="365"/>
      <c r="CT2" s="365"/>
      <c r="CU2" s="365"/>
      <c r="CV2" s="365"/>
      <c r="CW2" s="365"/>
      <c r="CX2" s="365"/>
      <c r="CY2" s="365"/>
      <c r="CZ2" s="365"/>
      <c r="DA2" s="365"/>
      <c r="DB2" s="365"/>
      <c r="DC2" s="365"/>
      <c r="DD2" s="365"/>
      <c r="DE2" s="365"/>
      <c r="DF2" s="365"/>
      <c r="DG2" s="365"/>
      <c r="DH2" s="365"/>
      <c r="DI2" s="365"/>
      <c r="DJ2" s="365"/>
      <c r="DK2" s="365"/>
      <c r="DL2" s="365"/>
      <c r="DM2" s="365"/>
      <c r="DN2" s="365"/>
      <c r="DO2" s="365"/>
      <c r="DP2" s="365"/>
      <c r="DQ2" s="365"/>
      <c r="DR2" s="365"/>
      <c r="DS2" s="365"/>
      <c r="DT2" s="365"/>
      <c r="DU2" s="365"/>
      <c r="DV2" s="365"/>
      <c r="DW2" s="365"/>
      <c r="DX2" s="365"/>
      <c r="DY2" s="365"/>
      <c r="DZ2" s="365"/>
      <c r="EA2" s="365"/>
      <c r="EB2" s="365"/>
      <c r="EC2" s="365"/>
      <c r="ED2" s="365"/>
      <c r="EE2" s="365"/>
      <c r="EF2" s="365"/>
      <c r="EG2" s="365"/>
      <c r="EH2" s="365"/>
      <c r="EI2" s="365"/>
      <c r="EJ2" s="365"/>
      <c r="EK2" s="365"/>
      <c r="EL2" s="365"/>
      <c r="EM2" s="365"/>
      <c r="EN2" s="365"/>
      <c r="EO2" s="365"/>
    </row>
    <row r="3" spans="1:145" ht="3.75" customHeight="1" thickBot="1" x14ac:dyDescent="0.3"/>
    <row r="4" spans="1:145" ht="6" customHeight="1" x14ac:dyDescent="0.25">
      <c r="M4" s="158"/>
      <c r="N4" s="159"/>
      <c r="O4" s="159"/>
      <c r="P4" s="159"/>
      <c r="Q4" s="159"/>
      <c r="R4" s="159"/>
      <c r="S4" s="159"/>
      <c r="T4" s="159"/>
      <c r="U4" s="159"/>
      <c r="V4" s="159"/>
      <c r="W4" s="159"/>
      <c r="X4" s="159"/>
      <c r="Y4" s="159"/>
      <c r="Z4" s="159"/>
      <c r="AA4" s="159"/>
      <c r="AB4" s="159"/>
      <c r="AC4" s="159"/>
      <c r="AD4" s="159"/>
      <c r="AE4" s="160"/>
    </row>
    <row r="5" spans="1:145" ht="27" customHeight="1" x14ac:dyDescent="0.25">
      <c r="M5" s="320"/>
      <c r="N5" s="321"/>
      <c r="O5" s="321"/>
      <c r="P5" s="321"/>
      <c r="Q5" s="321"/>
      <c r="R5" s="321"/>
      <c r="S5" s="321"/>
      <c r="T5" s="321"/>
      <c r="U5" s="321"/>
      <c r="V5" s="321"/>
      <c r="W5" s="321"/>
      <c r="X5" s="321"/>
      <c r="Y5" s="321"/>
      <c r="Z5" s="321"/>
      <c r="AA5" s="321"/>
      <c r="AB5" s="321"/>
      <c r="AC5" s="321"/>
      <c r="AD5" s="321"/>
      <c r="AE5" s="322"/>
    </row>
    <row r="6" spans="1:145" ht="6" customHeight="1" thickBot="1" x14ac:dyDescent="0.3">
      <c r="M6" s="161"/>
      <c r="N6" s="162"/>
      <c r="O6" s="162"/>
      <c r="P6" s="162"/>
      <c r="Q6" s="162"/>
      <c r="R6" s="162"/>
      <c r="S6" s="162"/>
      <c r="T6" s="162"/>
      <c r="U6" s="162"/>
      <c r="V6" s="162"/>
      <c r="W6" s="162"/>
      <c r="X6" s="162"/>
      <c r="Y6" s="162"/>
      <c r="Z6" s="162"/>
      <c r="AA6" s="162"/>
      <c r="AB6" s="162"/>
      <c r="AC6" s="162"/>
      <c r="AD6" s="162"/>
      <c r="AE6" s="163"/>
    </row>
    <row r="7" spans="1:145" ht="6" customHeight="1" thickBot="1" x14ac:dyDescent="0.3"/>
    <row r="8" spans="1:145" ht="13.5" customHeight="1" thickBot="1" x14ac:dyDescent="0.3">
      <c r="C8" s="157">
        <f>C16</f>
        <v>72</v>
      </c>
      <c r="F8" s="157" t="s">
        <v>281</v>
      </c>
      <c r="M8" s="355" t="s">
        <v>286</v>
      </c>
      <c r="N8" s="356"/>
      <c r="O8" s="356"/>
      <c r="P8" s="356"/>
      <c r="Q8" s="356"/>
      <c r="R8" s="356"/>
      <c r="S8" s="356"/>
      <c r="T8" s="356"/>
      <c r="U8" s="356"/>
      <c r="V8" s="356"/>
      <c r="W8" s="356"/>
      <c r="X8" s="356"/>
      <c r="Y8" s="356"/>
      <c r="Z8" s="356"/>
      <c r="AA8" s="356"/>
      <c r="AB8" s="356"/>
      <c r="AC8" s="356"/>
      <c r="AD8" s="356"/>
      <c r="AE8" s="357"/>
      <c r="AG8" s="164"/>
    </row>
    <row r="9" spans="1:145" ht="4.5" customHeight="1" thickBot="1" x14ac:dyDescent="0.3">
      <c r="M9" s="165"/>
      <c r="N9" s="166"/>
      <c r="O9" s="166"/>
      <c r="P9" s="166"/>
      <c r="Q9" s="400"/>
      <c r="R9" s="400"/>
      <c r="S9" s="166"/>
      <c r="T9" s="166"/>
      <c r="U9" s="166"/>
      <c r="V9" s="166"/>
      <c r="W9" s="166"/>
      <c r="X9" s="166"/>
      <c r="Y9" s="166"/>
      <c r="Z9" s="166"/>
      <c r="AA9" s="166"/>
      <c r="AB9" s="166"/>
      <c r="AC9" s="166"/>
      <c r="AD9" s="166"/>
      <c r="AE9" s="167"/>
    </row>
    <row r="10" spans="1:145" ht="13.5" customHeight="1" thickTop="1" thickBot="1" x14ac:dyDescent="0.3">
      <c r="M10" s="168"/>
      <c r="N10" s="169"/>
      <c r="O10" s="169"/>
      <c r="P10" s="170"/>
      <c r="Q10" s="412" t="s">
        <v>288</v>
      </c>
      <c r="R10" s="413"/>
      <c r="S10" s="169"/>
      <c r="T10" s="169"/>
      <c r="U10" s="405" t="s">
        <v>289</v>
      </c>
      <c r="V10" s="406"/>
      <c r="W10" s="407"/>
      <c r="X10" s="169"/>
      <c r="Y10" s="169"/>
      <c r="Z10" s="401" t="s">
        <v>290</v>
      </c>
      <c r="AA10" s="402"/>
      <c r="AB10" s="169"/>
      <c r="AC10" s="169"/>
      <c r="AD10" s="169"/>
      <c r="AE10" s="171"/>
      <c r="AH10" s="359" t="s">
        <v>315</v>
      </c>
      <c r="AI10" s="360"/>
      <c r="AJ10" s="360"/>
      <c r="AK10" s="360"/>
      <c r="AL10" s="360"/>
      <c r="AM10" s="360"/>
      <c r="AN10" s="360"/>
      <c r="AO10" s="361"/>
      <c r="CB10" s="382" t="s">
        <v>138</v>
      </c>
      <c r="CC10" s="382"/>
      <c r="CD10" s="382"/>
      <c r="CE10" s="382"/>
      <c r="CF10" s="382"/>
      <c r="CG10" s="382"/>
      <c r="CH10" s="382"/>
      <c r="CI10" s="382"/>
      <c r="CJ10" s="382"/>
      <c r="CK10" s="382"/>
      <c r="CL10" s="382"/>
      <c r="CM10" s="382"/>
      <c r="CN10" s="382"/>
      <c r="CO10" s="382"/>
      <c r="CP10" s="382"/>
      <c r="CQ10" s="382"/>
      <c r="CR10" s="382"/>
      <c r="CS10" s="382"/>
      <c r="CT10" s="382"/>
      <c r="CU10" s="382"/>
      <c r="CV10" s="382"/>
      <c r="CW10" s="382"/>
      <c r="CX10" s="382" t="s">
        <v>138</v>
      </c>
      <c r="CY10" s="382"/>
      <c r="CZ10" s="382"/>
      <c r="DA10" s="382"/>
      <c r="DB10" s="382"/>
      <c r="DC10" s="382"/>
      <c r="DD10" s="382"/>
      <c r="DE10" s="382"/>
      <c r="DF10" s="382"/>
      <c r="DG10" s="382"/>
      <c r="DH10" s="382"/>
      <c r="DI10" s="382"/>
      <c r="DJ10" s="382"/>
      <c r="DK10" s="382"/>
      <c r="DL10" s="382"/>
      <c r="DM10" s="382"/>
      <c r="DN10" s="382"/>
      <c r="DO10" s="382"/>
      <c r="DP10" s="382"/>
      <c r="DQ10" s="382"/>
      <c r="DR10" s="382"/>
      <c r="DS10" s="382"/>
      <c r="DT10" s="382" t="s">
        <v>138</v>
      </c>
      <c r="DU10" s="382"/>
      <c r="DV10" s="382"/>
      <c r="DW10" s="382"/>
      <c r="DX10" s="382"/>
      <c r="DY10" s="382"/>
      <c r="DZ10" s="382"/>
      <c r="EA10" s="382"/>
      <c r="EB10" s="382"/>
      <c r="EC10" s="382"/>
      <c r="ED10" s="382"/>
      <c r="EE10" s="382"/>
      <c r="EF10" s="382"/>
      <c r="EG10" s="382"/>
      <c r="EH10" s="382"/>
      <c r="EI10" s="382"/>
      <c r="EJ10" s="382"/>
      <c r="EK10" s="382"/>
      <c r="EL10" s="382"/>
      <c r="EM10" s="382"/>
      <c r="EN10" s="382"/>
      <c r="EO10" s="382"/>
    </row>
    <row r="11" spans="1:145" ht="13.5" customHeight="1" x14ac:dyDescent="0.25">
      <c r="A11" s="172">
        <f>IF(dati!AK74&lt;&gt;"n",(IF(U12&lt;&gt;"",IF(Z12="js",U12-C11/1000,U12+C11/1000),"")),U12)</f>
        <v>250</v>
      </c>
      <c r="C11" s="157">
        <f>dati!AK74</f>
        <v>0</v>
      </c>
      <c r="F11" s="157" t="s">
        <v>282</v>
      </c>
      <c r="M11" s="168"/>
      <c r="N11" s="169"/>
      <c r="O11" s="169"/>
      <c r="P11" s="169"/>
      <c r="Q11" s="403" t="s">
        <v>291</v>
      </c>
      <c r="R11" s="404"/>
      <c r="S11" s="169"/>
      <c r="T11" s="169"/>
      <c r="U11" s="408" t="s">
        <v>300</v>
      </c>
      <c r="V11" s="409"/>
      <c r="W11" s="410"/>
      <c r="X11" s="169"/>
      <c r="Y11" s="169"/>
      <c r="Z11" s="403" t="s">
        <v>291</v>
      </c>
      <c r="AA11" s="404"/>
      <c r="AB11" s="169"/>
      <c r="AC11" s="169"/>
      <c r="AD11" s="169"/>
      <c r="AE11" s="171"/>
      <c r="AH11" s="348" t="s">
        <v>279</v>
      </c>
      <c r="AI11" s="349"/>
      <c r="AJ11" s="349"/>
      <c r="AK11" s="349"/>
      <c r="AL11" s="349"/>
      <c r="AM11" s="349"/>
      <c r="AN11" s="349"/>
      <c r="AO11" s="350"/>
    </row>
    <row r="12" spans="1:145" ht="16.5" customHeight="1" thickBot="1" x14ac:dyDescent="0.3">
      <c r="A12" s="172">
        <f>IF(dati!AK74&lt;&gt;"n",(IF(U12&lt;&gt;"",IF(C11&lt;=0,A11-C12/1000,IF(Z12="k",A11-C12/1000,A11+C12/1000)),"")),U12)</f>
        <v>249.95400000000001</v>
      </c>
      <c r="C12" s="157">
        <f>IF(OR(Z12="k",Z12="j"),dati!X26*-1,dati!X26)</f>
        <v>46</v>
      </c>
      <c r="F12" s="157" t="s">
        <v>282</v>
      </c>
      <c r="M12" s="168"/>
      <c r="N12" s="169"/>
      <c r="O12" s="169"/>
      <c r="P12" s="169"/>
      <c r="Q12" s="248" t="s">
        <v>60</v>
      </c>
      <c r="R12" s="249">
        <v>8</v>
      </c>
      <c r="S12" s="169"/>
      <c r="T12" s="169"/>
      <c r="U12" s="342">
        <v>250</v>
      </c>
      <c r="V12" s="343"/>
      <c r="W12" s="344"/>
      <c r="X12" s="169"/>
      <c r="Y12" s="169"/>
      <c r="Z12" s="248" t="s">
        <v>7</v>
      </c>
      <c r="AA12" s="249">
        <v>7</v>
      </c>
      <c r="AB12" s="169"/>
      <c r="AC12" s="169"/>
      <c r="AD12" s="169"/>
      <c r="AE12" s="171"/>
      <c r="AH12" s="351"/>
      <c r="AI12" s="349"/>
      <c r="AJ12" s="349"/>
      <c r="AK12" s="349"/>
      <c r="AL12" s="349"/>
      <c r="AM12" s="349"/>
      <c r="AN12" s="349"/>
      <c r="AO12" s="350"/>
    </row>
    <row r="13" spans="1:145" ht="4.5" customHeight="1" x14ac:dyDescent="0.25">
      <c r="M13" s="168"/>
      <c r="N13" s="169"/>
      <c r="O13" s="169"/>
      <c r="P13" s="169"/>
      <c r="Q13" s="169"/>
      <c r="R13" s="169"/>
      <c r="S13" s="169"/>
      <c r="T13" s="169"/>
      <c r="U13" s="169"/>
      <c r="V13" s="169"/>
      <c r="W13" s="169"/>
      <c r="X13" s="169"/>
      <c r="Y13" s="169"/>
      <c r="Z13" s="169"/>
      <c r="AA13" s="169"/>
      <c r="AB13" s="169"/>
      <c r="AC13" s="169"/>
      <c r="AD13" s="169"/>
      <c r="AE13" s="171"/>
      <c r="AH13" s="351"/>
      <c r="AI13" s="349"/>
      <c r="AJ13" s="349"/>
      <c r="AK13" s="349"/>
      <c r="AL13" s="349"/>
      <c r="AM13" s="349"/>
      <c r="AN13" s="349"/>
      <c r="AO13" s="350"/>
    </row>
    <row r="14" spans="1:145" x14ac:dyDescent="0.25">
      <c r="A14" s="157">
        <f>IF(Q14="",U12+C14/1000,pannello!U12)</f>
        <v>249.86</v>
      </c>
      <c r="C14" s="157">
        <f>IF(dati!AL124&lt;=21,dati!AO124,IF(dati!AL124&gt;=22,dati!AP124,0))</f>
        <v>-140</v>
      </c>
      <c r="F14" s="157" t="s">
        <v>281</v>
      </c>
      <c r="M14" s="168"/>
      <c r="N14" s="169"/>
      <c r="O14" s="169"/>
      <c r="P14" s="169"/>
      <c r="Q14" s="414" t="str">
        <f>IF(AND(U12&lt;&gt;"",Q12&lt;&gt;"",R12&lt;&gt;""),(IF(OR(dati!AM124="n",dati!AL124=0),"NON AMMESSO","")),"")</f>
        <v/>
      </c>
      <c r="R14" s="414"/>
      <c r="S14" s="169"/>
      <c r="T14" s="169"/>
      <c r="U14" s="169"/>
      <c r="V14" s="169"/>
      <c r="W14" s="169"/>
      <c r="X14" s="169"/>
      <c r="Y14" s="169"/>
      <c r="Z14" s="414" t="str">
        <f>IF(AND(U12&lt;&gt;"",Z12&lt;&gt;"",AA12&lt;&gt;""),(IF(OR(dati!AK74="n",dati!AJ74=0),"NON AMMESSO","")),"")</f>
        <v/>
      </c>
      <c r="AA14" s="414"/>
      <c r="AB14" s="169"/>
      <c r="AC14" s="169"/>
      <c r="AD14" s="169"/>
      <c r="AE14" s="171"/>
      <c r="AH14" s="351"/>
      <c r="AI14" s="349"/>
      <c r="AJ14" s="349"/>
      <c r="AK14" s="349"/>
      <c r="AL14" s="349"/>
      <c r="AM14" s="349"/>
      <c r="AN14" s="349"/>
      <c r="AO14" s="350"/>
    </row>
    <row r="15" spans="1:145" ht="4.5" customHeight="1" thickBot="1" x14ac:dyDescent="0.3">
      <c r="M15" s="174"/>
      <c r="N15" s="175"/>
      <c r="O15" s="175"/>
      <c r="P15" s="175"/>
      <c r="Q15" s="175"/>
      <c r="R15" s="175"/>
      <c r="S15" s="175"/>
      <c r="T15" s="175"/>
      <c r="U15" s="175"/>
      <c r="V15" s="175"/>
      <c r="W15" s="175"/>
      <c r="X15" s="175"/>
      <c r="Y15" s="175"/>
      <c r="Z15" s="175"/>
      <c r="AA15" s="175"/>
      <c r="AB15" s="175"/>
      <c r="AC15" s="175"/>
      <c r="AD15" s="175"/>
      <c r="AE15" s="176"/>
      <c r="AH15" s="352"/>
      <c r="AI15" s="353"/>
      <c r="AJ15" s="353"/>
      <c r="AK15" s="353"/>
      <c r="AL15" s="353"/>
      <c r="AM15" s="353"/>
      <c r="AN15" s="353"/>
      <c r="AO15" s="354"/>
    </row>
    <row r="16" spans="1:145" ht="6" customHeight="1" thickBot="1" x14ac:dyDescent="0.3">
      <c r="A16" s="157">
        <f>IF(Q14="",IF(dati!AL124&lt;12,A14+C16/1000,A14-C16/1000),U12)</f>
        <v>249.78800000000001</v>
      </c>
      <c r="C16" s="157">
        <f>dati!X27</f>
        <v>72</v>
      </c>
      <c r="AH16" s="358" t="s">
        <v>308</v>
      </c>
      <c r="AI16" s="358"/>
      <c r="AJ16" s="358"/>
      <c r="AK16" s="358"/>
      <c r="AL16" s="358"/>
      <c r="AM16" s="358"/>
      <c r="AN16" s="358"/>
      <c r="AO16" s="358"/>
    </row>
    <row r="17" spans="2:150" ht="13.5" customHeight="1" x14ac:dyDescent="0.25">
      <c r="M17" s="345" t="s">
        <v>287</v>
      </c>
      <c r="N17" s="346"/>
      <c r="O17" s="346"/>
      <c r="P17" s="346"/>
      <c r="Q17" s="346"/>
      <c r="R17" s="346"/>
      <c r="S17" s="346"/>
      <c r="T17" s="346"/>
      <c r="U17" s="346"/>
      <c r="V17" s="346"/>
      <c r="W17" s="346"/>
      <c r="X17" s="346"/>
      <c r="Y17" s="346"/>
      <c r="Z17" s="346"/>
      <c r="AA17" s="346"/>
      <c r="AB17" s="346"/>
      <c r="AC17" s="346"/>
      <c r="AD17" s="346"/>
      <c r="AE17" s="347"/>
      <c r="AF17" s="177"/>
      <c r="AH17" s="358"/>
      <c r="AI17" s="358"/>
      <c r="AJ17" s="358"/>
      <c r="AK17" s="358"/>
      <c r="AL17" s="358"/>
      <c r="AM17" s="358"/>
      <c r="AN17" s="358"/>
      <c r="AO17" s="358"/>
    </row>
    <row r="18" spans="2:150" ht="7.5" customHeight="1" thickBot="1" x14ac:dyDescent="0.3">
      <c r="M18" s="178"/>
      <c r="AE18" s="179"/>
    </row>
    <row r="19" spans="2:150" ht="12.75" customHeight="1" thickTop="1" x14ac:dyDescent="0.25">
      <c r="B19" s="389" t="s">
        <v>130</v>
      </c>
      <c r="C19" s="389"/>
      <c r="D19" s="389"/>
      <c r="M19" s="178"/>
      <c r="U19" s="397" t="s">
        <v>292</v>
      </c>
      <c r="V19" s="397"/>
      <c r="W19" s="397"/>
      <c r="Z19" s="264"/>
      <c r="AA19" s="265"/>
      <c r="AB19" s="192" t="s">
        <v>293</v>
      </c>
      <c r="AC19" s="193"/>
      <c r="AD19" s="193"/>
      <c r="AE19" s="179"/>
      <c r="AH19" s="359" t="s">
        <v>316</v>
      </c>
      <c r="AI19" s="362"/>
      <c r="AJ19" s="362"/>
      <c r="AK19" s="362"/>
      <c r="AL19" s="362"/>
      <c r="AM19" s="362"/>
      <c r="AN19" s="362"/>
      <c r="AO19" s="363"/>
    </row>
    <row r="20" spans="2:150" ht="12" customHeight="1" x14ac:dyDescent="0.25">
      <c r="B20" s="180"/>
      <c r="C20" s="180"/>
      <c r="D20" s="180"/>
      <c r="M20" s="178"/>
      <c r="N20" s="181"/>
      <c r="O20" s="182"/>
      <c r="P20" s="182"/>
      <c r="Q20" s="182"/>
      <c r="R20" s="182"/>
      <c r="S20" s="183"/>
      <c r="AE20" s="179"/>
      <c r="AH20" s="348" t="s">
        <v>280</v>
      </c>
      <c r="AI20" s="349"/>
      <c r="AJ20" s="349"/>
      <c r="AK20" s="349"/>
      <c r="AL20" s="349"/>
      <c r="AM20" s="349"/>
      <c r="AN20" s="349"/>
      <c r="AO20" s="350"/>
      <c r="CA20" s="184"/>
      <c r="CB20" s="377" t="s">
        <v>195</v>
      </c>
      <c r="CC20" s="378"/>
      <c r="CD20" s="378"/>
      <c r="CE20" s="378"/>
      <c r="CF20" s="378"/>
      <c r="CG20" s="378"/>
      <c r="CH20" s="378"/>
      <c r="CI20" s="378"/>
      <c r="CJ20" s="378"/>
      <c r="CK20" s="378"/>
      <c r="CL20" s="378"/>
      <c r="CM20" s="378"/>
      <c r="CN20" s="378"/>
      <c r="CO20" s="378"/>
      <c r="CP20" s="378"/>
      <c r="CQ20" s="378"/>
      <c r="CR20" s="378"/>
      <c r="CS20" s="378"/>
      <c r="CT20" s="378"/>
      <c r="CU20" s="378"/>
      <c r="CV20" s="378"/>
      <c r="CW20" s="378"/>
      <c r="CX20" s="378"/>
      <c r="CY20" s="378"/>
      <c r="CZ20" s="378"/>
      <c r="DA20" s="378"/>
      <c r="DB20" s="378"/>
      <c r="DC20" s="378"/>
      <c r="DD20" s="378"/>
      <c r="DE20" s="378"/>
      <c r="DF20" s="378"/>
      <c r="DG20" s="378"/>
      <c r="DH20" s="378"/>
      <c r="DI20" s="378"/>
      <c r="DJ20" s="378"/>
      <c r="DK20" s="378"/>
      <c r="DL20" s="378"/>
      <c r="DM20" s="378"/>
      <c r="DN20" s="378"/>
      <c r="DO20" s="378"/>
      <c r="DP20" s="378"/>
      <c r="DQ20" s="378"/>
      <c r="DR20" s="378"/>
      <c r="DS20" s="378"/>
      <c r="DT20" s="378"/>
      <c r="DU20" s="378"/>
      <c r="DV20" s="378"/>
      <c r="DW20" s="378"/>
      <c r="DX20" s="378"/>
      <c r="DY20" s="378"/>
      <c r="DZ20" s="378"/>
      <c r="EA20" s="378"/>
      <c r="EB20" s="378"/>
      <c r="EC20" s="378"/>
      <c r="ED20" s="378"/>
      <c r="EE20" s="378"/>
      <c r="EF20" s="378"/>
      <c r="EG20" s="378"/>
      <c r="EH20" s="378"/>
      <c r="EI20" s="378"/>
      <c r="EJ20" s="378"/>
      <c r="EK20" s="378"/>
      <c r="EL20" s="378"/>
      <c r="EM20" s="378"/>
      <c r="EN20" s="378"/>
      <c r="EO20" s="378"/>
      <c r="EP20" s="378"/>
      <c r="EQ20" s="185"/>
    </row>
    <row r="21" spans="2:150" ht="9" customHeight="1" x14ac:dyDescent="0.25">
      <c r="C21" s="186" t="str">
        <f>IF(AND($U$12&lt;&gt;"",$Z$12&lt;&gt;"",$AA$12&lt;&gt;""),griglia_combinazioni!E58,"")</f>
        <v/>
      </c>
      <c r="D21" s="186" t="str">
        <f>IF(AND($U$12&lt;&gt;"",$Q$12&lt;&gt;"",$R$12&lt;&gt;""),griglia_combinazioni!F58,"")</f>
        <v/>
      </c>
      <c r="M21" s="178"/>
      <c r="N21" s="187"/>
      <c r="O21" s="188"/>
      <c r="P21" s="188"/>
      <c r="Q21" s="188"/>
      <c r="R21" s="188"/>
      <c r="S21" s="189"/>
      <c r="U21" s="190"/>
      <c r="V21" s="191"/>
      <c r="W21" s="190"/>
      <c r="AA21" s="192"/>
      <c r="AB21" s="193"/>
      <c r="AC21" s="193"/>
      <c r="AD21" s="193"/>
      <c r="AE21" s="179"/>
      <c r="AH21" s="351"/>
      <c r="AI21" s="349"/>
      <c r="AJ21" s="349"/>
      <c r="AK21" s="349"/>
      <c r="AL21" s="349"/>
      <c r="AM21" s="349"/>
      <c r="AN21" s="349"/>
      <c r="AO21" s="350"/>
      <c r="CA21" s="194"/>
      <c r="CB21" s="374"/>
      <c r="CC21" s="374"/>
      <c r="CD21" s="374"/>
      <c r="CE21" s="374"/>
      <c r="CF21" s="374"/>
      <c r="CG21" s="374"/>
      <c r="CH21" s="374"/>
      <c r="CI21" s="374"/>
      <c r="CJ21" s="374"/>
      <c r="CK21" s="374"/>
      <c r="CL21" s="374"/>
      <c r="CM21" s="374"/>
      <c r="CN21" s="374"/>
      <c r="CO21" s="374"/>
      <c r="CP21" s="374"/>
      <c r="CQ21" s="374"/>
      <c r="CR21" s="374"/>
      <c r="CS21" s="374"/>
      <c r="CT21" s="374"/>
      <c r="CU21" s="374"/>
      <c r="CV21" s="374"/>
      <c r="CW21" s="374"/>
      <c r="CX21" s="374"/>
      <c r="CY21" s="374"/>
      <c r="CZ21" s="374"/>
      <c r="DA21" s="374"/>
      <c r="DB21" s="374"/>
      <c r="DC21" s="374"/>
      <c r="DD21" s="374"/>
      <c r="DE21" s="374"/>
      <c r="DF21" s="374"/>
      <c r="DG21" s="374"/>
      <c r="DH21" s="374"/>
      <c r="DI21" s="374"/>
      <c r="DJ21" s="374"/>
      <c r="DK21" s="374"/>
      <c r="DL21" s="374"/>
      <c r="DM21" s="374"/>
      <c r="DN21" s="374"/>
      <c r="DO21" s="374"/>
      <c r="DP21" s="374"/>
      <c r="DQ21" s="374"/>
      <c r="DR21" s="374"/>
      <c r="DS21" s="374"/>
      <c r="DT21" s="374"/>
      <c r="DU21" s="374"/>
      <c r="DV21" s="374"/>
      <c r="DW21" s="374"/>
      <c r="DX21" s="374"/>
      <c r="DY21" s="374"/>
      <c r="DZ21" s="374"/>
      <c r="EA21" s="374"/>
      <c r="EB21" s="374"/>
      <c r="EC21" s="374"/>
      <c r="ED21" s="374"/>
      <c r="EE21" s="374"/>
      <c r="EF21" s="374"/>
      <c r="EG21" s="374"/>
      <c r="EH21" s="374"/>
      <c r="EI21" s="374"/>
      <c r="EJ21" s="374"/>
      <c r="EK21" s="374"/>
      <c r="EL21" s="374"/>
      <c r="EM21" s="374"/>
      <c r="EN21" s="374"/>
      <c r="EO21" s="374"/>
      <c r="EP21" s="374"/>
      <c r="EQ21" s="195"/>
    </row>
    <row r="22" spans="2:150" ht="9" customHeight="1" x14ac:dyDescent="0.25">
      <c r="C22" s="186" t="str">
        <f>IF(AND($U$12&lt;&gt;"",$Z$12&lt;&gt;"",$AA$12&lt;&gt;""),griglia_combinazioni!E59,"")</f>
        <v/>
      </c>
      <c r="D22" s="186" t="str">
        <f>IF(AND($U$12&lt;&gt;"",$Q$12&lt;&gt;"",$R$12&lt;&gt;""),griglia_combinazioni!F59,"")</f>
        <v/>
      </c>
      <c r="M22" s="178"/>
      <c r="N22" s="187"/>
      <c r="O22" s="188"/>
      <c r="P22" s="188"/>
      <c r="Q22" s="188"/>
      <c r="R22" s="188"/>
      <c r="S22" s="189"/>
      <c r="U22" s="191"/>
      <c r="W22" s="191"/>
      <c r="AA22" s="192"/>
      <c r="AB22" s="193"/>
      <c r="AC22" s="193"/>
      <c r="AD22" s="193"/>
      <c r="AE22" s="179"/>
      <c r="AH22" s="351"/>
      <c r="AI22" s="349"/>
      <c r="AJ22" s="349"/>
      <c r="AK22" s="349"/>
      <c r="AL22" s="349"/>
      <c r="AM22" s="349"/>
      <c r="AN22" s="349"/>
      <c r="AO22" s="350"/>
      <c r="CA22" s="194"/>
      <c r="CB22" s="173"/>
      <c r="CC22" s="173"/>
      <c r="CD22" s="173"/>
      <c r="CE22" s="173"/>
      <c r="CF22" s="379" t="s">
        <v>260</v>
      </c>
      <c r="CG22" s="380"/>
      <c r="CH22" s="380"/>
      <c r="CI22" s="380"/>
      <c r="CJ22" s="380"/>
      <c r="CK22" s="380"/>
      <c r="CL22" s="380"/>
      <c r="CM22" s="380"/>
      <c r="CN22" s="380"/>
      <c r="CO22" s="380"/>
      <c r="CP22" s="380"/>
      <c r="CQ22" s="380"/>
      <c r="CR22" s="380"/>
      <c r="CS22" s="380"/>
      <c r="CT22" s="380"/>
      <c r="CU22" s="380"/>
      <c r="CV22" s="380"/>
      <c r="CW22" s="380"/>
      <c r="CX22" s="380"/>
      <c r="CY22" s="380"/>
      <c r="CZ22" s="380"/>
      <c r="DA22" s="380"/>
      <c r="DB22" s="380"/>
      <c r="DC22" s="380"/>
      <c r="DD22" s="380"/>
      <c r="DE22" s="380"/>
      <c r="DF22" s="380"/>
      <c r="DG22" s="380"/>
      <c r="DH22" s="380"/>
      <c r="DI22" s="380"/>
      <c r="DJ22" s="380"/>
      <c r="DK22" s="380"/>
      <c r="DL22" s="380"/>
      <c r="DM22" s="380"/>
      <c r="DN22" s="380"/>
      <c r="DO22" s="380"/>
      <c r="DP22" s="380"/>
      <c r="DQ22" s="380"/>
      <c r="DR22" s="380"/>
      <c r="DS22" s="380"/>
      <c r="DT22" s="380"/>
      <c r="DU22" s="380"/>
      <c r="DV22" s="380"/>
      <c r="DW22" s="380"/>
      <c r="DX22" s="380"/>
      <c r="DY22" s="380"/>
      <c r="DZ22" s="380"/>
      <c r="EA22" s="380"/>
      <c r="EB22" s="380"/>
      <c r="EC22" s="380"/>
      <c r="ED22" s="380"/>
      <c r="EE22" s="380"/>
      <c r="EF22" s="380"/>
      <c r="EG22" s="380"/>
      <c r="EH22" s="380"/>
      <c r="EI22" s="380"/>
      <c r="EJ22" s="380"/>
      <c r="EK22" s="380"/>
      <c r="EL22" s="380"/>
      <c r="EM22" s="173"/>
      <c r="EN22" s="173"/>
      <c r="EO22" s="173"/>
      <c r="EP22" s="173"/>
      <c r="EQ22" s="195"/>
    </row>
    <row r="23" spans="2:150" ht="9" customHeight="1" thickBot="1" x14ac:dyDescent="0.3">
      <c r="C23" s="186" t="str">
        <f>IF(AND($U$12&lt;&gt;"",$Z$12&lt;&gt;"",$AA$12&lt;&gt;""),griglia_combinazioni!E60,"")</f>
        <v/>
      </c>
      <c r="D23" s="186" t="str">
        <f>IF(AND($U$12&lt;&gt;"",$Q$12&lt;&gt;"",$R$12&lt;&gt;""),griglia_combinazioni!F60,"")</f>
        <v/>
      </c>
      <c r="F23" s="197"/>
      <c r="M23" s="178"/>
      <c r="N23" s="187"/>
      <c r="O23" s="188"/>
      <c r="P23" s="188"/>
      <c r="Q23" s="188"/>
      <c r="R23" s="188"/>
      <c r="S23" s="189"/>
      <c r="U23" s="191"/>
      <c r="W23" s="191"/>
      <c r="AA23" s="192"/>
      <c r="AB23" s="193"/>
      <c r="AC23" s="193"/>
      <c r="AD23" s="193"/>
      <c r="AE23" s="179"/>
      <c r="AH23" s="352"/>
      <c r="AI23" s="353"/>
      <c r="AJ23" s="353"/>
      <c r="AK23" s="353"/>
      <c r="AL23" s="353"/>
      <c r="AM23" s="353"/>
      <c r="AN23" s="353"/>
      <c r="AO23" s="354"/>
      <c r="CA23" s="194"/>
      <c r="CB23" s="196"/>
      <c r="CF23" s="380"/>
      <c r="CG23" s="380"/>
      <c r="CH23" s="380"/>
      <c r="CI23" s="380"/>
      <c r="CJ23" s="380"/>
      <c r="CK23" s="380"/>
      <c r="CL23" s="380"/>
      <c r="CM23" s="380"/>
      <c r="CN23" s="380"/>
      <c r="CO23" s="380"/>
      <c r="CP23" s="380"/>
      <c r="CQ23" s="380"/>
      <c r="CR23" s="380"/>
      <c r="CS23" s="380"/>
      <c r="CT23" s="380"/>
      <c r="CU23" s="380"/>
      <c r="CV23" s="380"/>
      <c r="CW23" s="380"/>
      <c r="CX23" s="380"/>
      <c r="CY23" s="380"/>
      <c r="CZ23" s="380"/>
      <c r="DA23" s="380"/>
      <c r="DB23" s="380"/>
      <c r="DC23" s="380"/>
      <c r="DD23" s="380"/>
      <c r="DE23" s="380"/>
      <c r="DF23" s="380"/>
      <c r="DG23" s="380"/>
      <c r="DH23" s="380"/>
      <c r="DI23" s="380"/>
      <c r="DJ23" s="380"/>
      <c r="DK23" s="380"/>
      <c r="DL23" s="380"/>
      <c r="DM23" s="380"/>
      <c r="DN23" s="380"/>
      <c r="DO23" s="380"/>
      <c r="DP23" s="380"/>
      <c r="DQ23" s="380"/>
      <c r="DR23" s="380"/>
      <c r="DS23" s="380"/>
      <c r="DT23" s="380"/>
      <c r="DU23" s="380"/>
      <c r="DV23" s="380"/>
      <c r="DW23" s="380"/>
      <c r="DX23" s="380"/>
      <c r="DY23" s="380"/>
      <c r="DZ23" s="380"/>
      <c r="EA23" s="380"/>
      <c r="EB23" s="380"/>
      <c r="EC23" s="380"/>
      <c r="ED23" s="380"/>
      <c r="EE23" s="380"/>
      <c r="EF23" s="380"/>
      <c r="EG23" s="380"/>
      <c r="EH23" s="380"/>
      <c r="EI23" s="380"/>
      <c r="EJ23" s="380"/>
      <c r="EK23" s="380"/>
      <c r="EL23" s="380"/>
      <c r="EQ23" s="195"/>
    </row>
    <row r="24" spans="2:150" ht="9" customHeight="1" thickTop="1" thickBot="1" x14ac:dyDescent="0.3">
      <c r="C24" s="186" t="str">
        <f>IF(AND($U$12&lt;&gt;"",$Z$12&lt;&gt;"",$AA$12&lt;&gt;""),griglia_combinazioni!E61,"")</f>
        <v/>
      </c>
      <c r="D24" s="186" t="str">
        <f>IF(AND($U$12&lt;&gt;"",$Q$12&lt;&gt;"",$R$12&lt;&gt;""),griglia_combinazioni!F61,"")</f>
        <v/>
      </c>
      <c r="F24" s="197"/>
      <c r="H24" s="197"/>
      <c r="I24" s="157" t="str">
        <f>IF(OR(AND(AA41=U12,Q43&gt;U12),(AND(AA43&gt;U12,Q43=U12))),1,"")</f>
        <v/>
      </c>
      <c r="M24" s="178"/>
      <c r="N24" s="198"/>
      <c r="O24" s="199"/>
      <c r="P24" s="199"/>
      <c r="Q24" s="199"/>
      <c r="R24" s="199"/>
      <c r="S24" s="200"/>
      <c r="U24" s="191"/>
      <c r="W24" s="191"/>
      <c r="AA24" s="192"/>
      <c r="AB24" s="193"/>
      <c r="AC24" s="193"/>
      <c r="AD24" s="193"/>
      <c r="AE24" s="179"/>
      <c r="AH24" s="358" t="s">
        <v>308</v>
      </c>
      <c r="AI24" s="358"/>
      <c r="AJ24" s="358"/>
      <c r="AK24" s="358"/>
      <c r="AL24" s="358"/>
      <c r="AM24" s="358"/>
      <c r="AN24" s="358"/>
      <c r="AO24" s="358"/>
      <c r="CA24" s="194"/>
      <c r="CF24" s="380"/>
      <c r="CG24" s="380"/>
      <c r="CH24" s="380"/>
      <c r="CI24" s="380"/>
      <c r="CJ24" s="380"/>
      <c r="CK24" s="380"/>
      <c r="CL24" s="380"/>
      <c r="CM24" s="380"/>
      <c r="CN24" s="380"/>
      <c r="CO24" s="380"/>
      <c r="CP24" s="380"/>
      <c r="CQ24" s="380"/>
      <c r="CR24" s="380"/>
      <c r="CS24" s="380"/>
      <c r="CT24" s="380"/>
      <c r="CU24" s="380"/>
      <c r="CV24" s="380"/>
      <c r="CW24" s="380"/>
      <c r="CX24" s="380"/>
      <c r="CY24" s="380"/>
      <c r="CZ24" s="380"/>
      <c r="DA24" s="380"/>
      <c r="DB24" s="380"/>
      <c r="DC24" s="380"/>
      <c r="DD24" s="380"/>
      <c r="DE24" s="380"/>
      <c r="DF24" s="380"/>
      <c r="DG24" s="380"/>
      <c r="DH24" s="380"/>
      <c r="DI24" s="380"/>
      <c r="DJ24" s="380"/>
      <c r="DK24" s="380"/>
      <c r="DL24" s="380"/>
      <c r="DM24" s="380"/>
      <c r="DN24" s="380"/>
      <c r="DO24" s="380"/>
      <c r="DP24" s="380"/>
      <c r="DQ24" s="380"/>
      <c r="DR24" s="380"/>
      <c r="DS24" s="380"/>
      <c r="DT24" s="380"/>
      <c r="DU24" s="380"/>
      <c r="DV24" s="380"/>
      <c r="DW24" s="380"/>
      <c r="DX24" s="380"/>
      <c r="DY24" s="380"/>
      <c r="DZ24" s="380"/>
      <c r="EA24" s="380"/>
      <c r="EB24" s="380"/>
      <c r="EC24" s="380"/>
      <c r="ED24" s="380"/>
      <c r="EE24" s="380"/>
      <c r="EF24" s="380"/>
      <c r="EG24" s="380"/>
      <c r="EH24" s="380"/>
      <c r="EI24" s="380"/>
      <c r="EJ24" s="380"/>
      <c r="EK24" s="380"/>
      <c r="EL24" s="380"/>
      <c r="EQ24" s="195"/>
    </row>
    <row r="25" spans="2:150" ht="9" customHeight="1" thickBot="1" x14ac:dyDescent="0.3">
      <c r="C25" s="186" t="str">
        <f>IF(AND($U$12&lt;&gt;"",$Z$12&lt;&gt;"",$AA$12&lt;&gt;""),griglia_combinazioni!E62,"")</f>
        <v>F</v>
      </c>
      <c r="D25" s="186" t="str">
        <f>IF(AND($U$12&lt;&gt;"",$Q$12&lt;&gt;"",$R$12&lt;&gt;""),griglia_combinazioni!F62,"")</f>
        <v/>
      </c>
      <c r="F25" s="197"/>
      <c r="H25" s="197"/>
      <c r="I25" s="157">
        <f>IF(OR(AND(AA43=U12,Q43&lt;U12),(AND(Q43=U12,AA45&lt;U12))),1,"")</f>
        <v>1</v>
      </c>
      <c r="M25" s="178"/>
      <c r="U25" s="191"/>
      <c r="W25" s="191"/>
      <c r="Y25" s="201"/>
      <c r="Z25" s="202"/>
      <c r="AA25" s="202"/>
      <c r="AB25" s="202"/>
      <c r="AC25" s="202"/>
      <c r="AD25" s="203"/>
      <c r="AE25" s="179"/>
      <c r="AH25" s="358"/>
      <c r="AI25" s="358"/>
      <c r="AJ25" s="358"/>
      <c r="AK25" s="358"/>
      <c r="AL25" s="358"/>
      <c r="AM25" s="358"/>
      <c r="AN25" s="358"/>
      <c r="AO25" s="358"/>
      <c r="CA25" s="194"/>
      <c r="CF25" s="380"/>
      <c r="CG25" s="380"/>
      <c r="CH25" s="380"/>
      <c r="CI25" s="380"/>
      <c r="CJ25" s="380"/>
      <c r="CK25" s="380"/>
      <c r="CL25" s="380"/>
      <c r="CM25" s="380"/>
      <c r="CN25" s="380"/>
      <c r="CO25" s="380"/>
      <c r="CP25" s="380"/>
      <c r="CQ25" s="380"/>
      <c r="CR25" s="380"/>
      <c r="CS25" s="380"/>
      <c r="CT25" s="380"/>
      <c r="CU25" s="380"/>
      <c r="CV25" s="380"/>
      <c r="CW25" s="380"/>
      <c r="CX25" s="380"/>
      <c r="CY25" s="380"/>
      <c r="CZ25" s="380"/>
      <c r="DA25" s="380"/>
      <c r="DB25" s="380"/>
      <c r="DC25" s="380"/>
      <c r="DD25" s="380"/>
      <c r="DE25" s="380"/>
      <c r="DF25" s="380"/>
      <c r="DG25" s="380"/>
      <c r="DH25" s="380"/>
      <c r="DI25" s="380"/>
      <c r="DJ25" s="380"/>
      <c r="DK25" s="380"/>
      <c r="DL25" s="380"/>
      <c r="DM25" s="380"/>
      <c r="DN25" s="380"/>
      <c r="DO25" s="380"/>
      <c r="DP25" s="380"/>
      <c r="DQ25" s="380"/>
      <c r="DR25" s="380"/>
      <c r="DS25" s="380"/>
      <c r="DT25" s="380"/>
      <c r="DU25" s="380"/>
      <c r="DV25" s="380"/>
      <c r="DW25" s="380"/>
      <c r="DX25" s="380"/>
      <c r="DY25" s="380"/>
      <c r="DZ25" s="380"/>
      <c r="EA25" s="380"/>
      <c r="EB25" s="380"/>
      <c r="EC25" s="380"/>
      <c r="ED25" s="380"/>
      <c r="EE25" s="380"/>
      <c r="EF25" s="380"/>
      <c r="EG25" s="380"/>
      <c r="EH25" s="380"/>
      <c r="EI25" s="380"/>
      <c r="EJ25" s="380"/>
      <c r="EK25" s="380"/>
      <c r="EL25" s="380"/>
      <c r="EQ25" s="195"/>
    </row>
    <row r="26" spans="2:150" ht="9" customHeight="1" thickTop="1" x14ac:dyDescent="0.25">
      <c r="C26" s="186" t="str">
        <f>IF(AND($U$12&lt;&gt;"",$Z$12&lt;&gt;"",$AA$12&lt;&gt;""),griglia_combinazioni!E63,"")</f>
        <v/>
      </c>
      <c r="D26" s="186" t="str">
        <f>IF(AND($U$12&lt;&gt;"",$Q$12&lt;&gt;"",$R$12&lt;&gt;""),griglia_combinazioni!F63,"")</f>
        <v/>
      </c>
      <c r="F26" s="197"/>
      <c r="I26" s="157" t="str">
        <f>IF(AND(AA43&lt;U12,Q43&lt;U12),1,"")</f>
        <v/>
      </c>
      <c r="M26" s="178"/>
      <c r="U26" s="191"/>
      <c r="W26" s="191"/>
      <c r="Y26" s="187"/>
      <c r="Z26" s="188"/>
      <c r="AA26" s="188"/>
      <c r="AB26" s="188"/>
      <c r="AC26" s="188"/>
      <c r="AD26" s="204"/>
      <c r="AE26" s="179"/>
      <c r="AH26" s="334" t="s">
        <v>314</v>
      </c>
      <c r="AI26" s="335"/>
      <c r="AJ26" s="335"/>
      <c r="AK26" s="335"/>
      <c r="AL26" s="335"/>
      <c r="AM26" s="335"/>
      <c r="AN26" s="335"/>
      <c r="AO26" s="336"/>
      <c r="CA26" s="194"/>
      <c r="CI26" s="365"/>
      <c r="CJ26" s="365"/>
      <c r="CK26" s="365"/>
      <c r="CL26" s="365"/>
      <c r="CM26" s="365"/>
      <c r="CN26" s="365"/>
      <c r="CO26" s="365"/>
      <c r="CP26" s="365"/>
      <c r="CQ26" s="365"/>
      <c r="CR26" s="365"/>
      <c r="CS26" s="365"/>
      <c r="CT26" s="365"/>
      <c r="CU26" s="365"/>
      <c r="CV26" s="365"/>
      <c r="CW26" s="365"/>
      <c r="CX26" s="365"/>
      <c r="CY26" s="365"/>
      <c r="CZ26" s="365"/>
      <c r="DA26" s="365"/>
      <c r="DB26" s="365"/>
      <c r="DC26" s="365"/>
      <c r="DD26" s="365"/>
      <c r="DE26" s="365"/>
      <c r="DF26" s="365"/>
      <c r="DG26" s="365"/>
      <c r="DH26" s="365"/>
      <c r="DI26" s="365"/>
      <c r="DJ26" s="365"/>
      <c r="DK26" s="365"/>
      <c r="DL26" s="365"/>
      <c r="DM26" s="365"/>
      <c r="DN26" s="365"/>
      <c r="DO26" s="365"/>
      <c r="DP26" s="365"/>
      <c r="DQ26" s="365"/>
      <c r="DR26" s="365"/>
      <c r="DS26" s="365"/>
      <c r="DT26" s="365"/>
      <c r="DU26" s="365"/>
      <c r="DV26" s="365"/>
      <c r="DW26" s="365"/>
      <c r="DX26" s="365"/>
      <c r="DY26" s="365"/>
      <c r="DZ26" s="365"/>
      <c r="EA26" s="365"/>
      <c r="EB26" s="365"/>
      <c r="EC26" s="365"/>
      <c r="ED26" s="365"/>
      <c r="EE26" s="365"/>
      <c r="EF26" s="365"/>
      <c r="EG26" s="365"/>
      <c r="EH26" s="365"/>
      <c r="EI26" s="365"/>
      <c r="EQ26" s="195"/>
    </row>
    <row r="27" spans="2:150" ht="9" customHeight="1" thickBot="1" x14ac:dyDescent="0.3">
      <c r="C27" s="186" t="str">
        <f>IF(AND($U$12&lt;&gt;"",$Z$12&lt;&gt;"",$AA$12&lt;&gt;""),griglia_combinazioni!E64,"")</f>
        <v/>
      </c>
      <c r="D27" s="186" t="str">
        <f>IF(AND($U$12&lt;&gt;"",$Q$12&lt;&gt;"",$R$12&lt;&gt;""),griglia_combinazioni!F64,"")</f>
        <v>F</v>
      </c>
      <c r="M27" s="178"/>
      <c r="U27" s="191"/>
      <c r="W27" s="191"/>
      <c r="Y27" s="187"/>
      <c r="Z27" s="188"/>
      <c r="AA27" s="188"/>
      <c r="AB27" s="188"/>
      <c r="AC27" s="188"/>
      <c r="AD27" s="204"/>
      <c r="AE27" s="179"/>
      <c r="AH27" s="337"/>
      <c r="AI27" s="338"/>
      <c r="AJ27" s="338"/>
      <c r="AK27" s="338"/>
      <c r="AL27" s="338"/>
      <c r="AM27" s="338"/>
      <c r="AN27" s="338"/>
      <c r="AO27" s="339"/>
      <c r="CA27" s="194"/>
      <c r="CB27" s="364" t="s">
        <v>193</v>
      </c>
      <c r="CC27" s="364"/>
      <c r="CD27" s="364"/>
      <c r="CE27" s="364"/>
      <c r="CF27" s="364"/>
      <c r="CG27" s="364"/>
      <c r="CH27" s="364"/>
      <c r="CI27" s="364"/>
      <c r="CJ27" s="364"/>
      <c r="CK27" s="364"/>
      <c r="CL27" s="364"/>
      <c r="CM27" s="364"/>
      <c r="CN27" s="364"/>
      <c r="CO27" s="364"/>
      <c r="CP27" s="364"/>
      <c r="CQ27" s="364"/>
      <c r="CR27" s="364"/>
      <c r="CS27" s="364"/>
      <c r="CT27" s="364"/>
      <c r="CU27" s="364"/>
      <c r="CV27" s="364"/>
      <c r="CW27" s="364"/>
      <c r="CX27" s="364"/>
      <c r="CY27" s="364"/>
      <c r="CZ27" s="364"/>
      <c r="DA27" s="364"/>
      <c r="DB27" s="364"/>
      <c r="DC27" s="364"/>
      <c r="DD27" s="364"/>
      <c r="DE27" s="364"/>
      <c r="DF27" s="364"/>
      <c r="DG27" s="364"/>
      <c r="DH27" s="364"/>
      <c r="DI27" s="364"/>
      <c r="DJ27" s="364"/>
      <c r="DK27" s="364"/>
      <c r="DL27" s="364"/>
      <c r="DM27" s="364"/>
      <c r="DN27" s="364"/>
      <c r="DO27" s="364"/>
      <c r="DP27" s="364"/>
      <c r="DQ27" s="364"/>
      <c r="DR27" s="364"/>
      <c r="DS27" s="364"/>
      <c r="DT27" s="364"/>
      <c r="DU27" s="364"/>
      <c r="DV27" s="364"/>
      <c r="DW27" s="364"/>
      <c r="DX27" s="364"/>
      <c r="DY27" s="364"/>
      <c r="DZ27" s="364"/>
      <c r="EA27" s="364"/>
      <c r="EB27" s="364"/>
      <c r="EC27" s="364"/>
      <c r="ED27" s="364"/>
      <c r="EE27" s="364"/>
      <c r="EF27" s="364"/>
      <c r="EG27" s="364"/>
      <c r="EH27" s="364"/>
      <c r="EI27" s="364"/>
      <c r="EJ27" s="364"/>
      <c r="EK27" s="364"/>
      <c r="EL27" s="364"/>
      <c r="EM27" s="364"/>
      <c r="EN27" s="364"/>
      <c r="EO27" s="364"/>
      <c r="EP27" s="365"/>
      <c r="EQ27" s="195"/>
    </row>
    <row r="28" spans="2:150" ht="9" customHeight="1" thickBot="1" x14ac:dyDescent="0.3">
      <c r="C28" s="186" t="str">
        <f>IF(AND($U$12&lt;&gt;"",$Z$12&lt;&gt;"",$AA$12&lt;&gt;""),griglia_combinazioni!E65,"")</f>
        <v/>
      </c>
      <c r="D28" s="186" t="str">
        <f>IF(AND($U$12&lt;&gt;"",$Q$12&lt;&gt;"",$R$12&lt;&gt;""),griglia_combinazioni!F65,"")</f>
        <v/>
      </c>
      <c r="M28" s="178"/>
      <c r="U28" s="340">
        <f>IF(AND(U12&lt;&gt;"",Q12&lt;&gt;"",R12&lt;&gt;"",Z12&lt;&gt;"",AA12&lt;&gt;""),F41,"")</f>
        <v>0.21199999999998909</v>
      </c>
      <c r="W28" s="340">
        <f>IF(AND(U12&lt;&gt;"",Q12&lt;&gt;"",R12&lt;&gt;"",Z12&lt;&gt;"",AA12&lt;&gt;""),F43,"")</f>
        <v>9.3999999999994088E-2</v>
      </c>
      <c r="Y28" s="187"/>
      <c r="Z28" s="188"/>
      <c r="AA28" s="188"/>
      <c r="AB28" s="188"/>
      <c r="AC28" s="188"/>
      <c r="AD28" s="204"/>
      <c r="AE28" s="179"/>
      <c r="AH28" s="205"/>
      <c r="AO28" s="206"/>
      <c r="CA28" s="194"/>
      <c r="CB28" s="364"/>
      <c r="CC28" s="364"/>
      <c r="CD28" s="364"/>
      <c r="CE28" s="364"/>
      <c r="CF28" s="364"/>
      <c r="CG28" s="364"/>
      <c r="CH28" s="364"/>
      <c r="CI28" s="364"/>
      <c r="CJ28" s="364"/>
      <c r="CK28" s="364"/>
      <c r="CL28" s="364"/>
      <c r="CM28" s="364"/>
      <c r="CN28" s="364"/>
      <c r="CO28" s="364"/>
      <c r="CP28" s="364"/>
      <c r="CQ28" s="364"/>
      <c r="CR28" s="364"/>
      <c r="CS28" s="364"/>
      <c r="CT28" s="364"/>
      <c r="CU28" s="364"/>
      <c r="CV28" s="364"/>
      <c r="CW28" s="364"/>
      <c r="CX28" s="364"/>
      <c r="CY28" s="364"/>
      <c r="CZ28" s="364"/>
      <c r="DA28" s="364"/>
      <c r="DB28" s="364"/>
      <c r="DC28" s="364"/>
      <c r="DD28" s="364"/>
      <c r="DE28" s="364"/>
      <c r="DF28" s="364"/>
      <c r="DG28" s="364"/>
      <c r="DH28" s="364"/>
      <c r="DI28" s="364"/>
      <c r="DJ28" s="364"/>
      <c r="DK28" s="364"/>
      <c r="DL28" s="364"/>
      <c r="DM28" s="364"/>
      <c r="DN28" s="364"/>
      <c r="DO28" s="364"/>
      <c r="DP28" s="364"/>
      <c r="DQ28" s="364"/>
      <c r="DR28" s="364"/>
      <c r="DS28" s="364"/>
      <c r="DT28" s="364"/>
      <c r="DU28" s="364"/>
      <c r="DV28" s="364"/>
      <c r="DW28" s="364"/>
      <c r="DX28" s="364"/>
      <c r="DY28" s="364"/>
      <c r="DZ28" s="364"/>
      <c r="EA28" s="364"/>
      <c r="EB28" s="364"/>
      <c r="EC28" s="364"/>
      <c r="ED28" s="364"/>
      <c r="EE28" s="364"/>
      <c r="EF28" s="364"/>
      <c r="EG28" s="364"/>
      <c r="EH28" s="364"/>
      <c r="EI28" s="364"/>
      <c r="EJ28" s="364"/>
      <c r="EK28" s="364"/>
      <c r="EL28" s="364"/>
      <c r="EM28" s="364"/>
      <c r="EN28" s="364"/>
      <c r="EO28" s="364"/>
      <c r="EP28" s="365"/>
      <c r="EQ28" s="195"/>
    </row>
    <row r="29" spans="2:150" ht="12.75" customHeight="1" x14ac:dyDescent="0.25">
      <c r="M29" s="178"/>
      <c r="R29" s="399">
        <f>U12</f>
        <v>250</v>
      </c>
      <c r="U29" s="341"/>
      <c r="V29" s="207"/>
      <c r="W29" s="341"/>
      <c r="X29" s="207"/>
      <c r="Y29" s="187"/>
      <c r="Z29" s="411">
        <f>U12</f>
        <v>250</v>
      </c>
      <c r="AA29" s="188"/>
      <c r="AB29" s="188"/>
      <c r="AC29" s="188"/>
      <c r="AD29" s="204"/>
      <c r="AE29" s="179"/>
      <c r="AH29" s="208" t="s">
        <v>139</v>
      </c>
      <c r="AI29" s="209" t="s">
        <v>162</v>
      </c>
      <c r="AJ29" s="209" t="s">
        <v>261</v>
      </c>
      <c r="AK29" s="210" t="s">
        <v>164</v>
      </c>
      <c r="AL29" s="210" t="s">
        <v>264</v>
      </c>
      <c r="AM29" s="210" t="s">
        <v>171</v>
      </c>
      <c r="AN29" s="210" t="s">
        <v>262</v>
      </c>
      <c r="AO29" s="211" t="s">
        <v>174</v>
      </c>
      <c r="AP29" s="212"/>
      <c r="CA29" s="194"/>
      <c r="CF29" s="367" t="s">
        <v>133</v>
      </c>
      <c r="CG29" s="367"/>
      <c r="CH29" s="367"/>
      <c r="CI29" s="367"/>
      <c r="CJ29" s="367" t="s">
        <v>150</v>
      </c>
      <c r="CK29" s="369"/>
      <c r="CL29" s="369"/>
      <c r="CM29" s="369"/>
      <c r="CN29" s="367" t="s">
        <v>146</v>
      </c>
      <c r="CO29" s="367"/>
      <c r="CP29" s="367"/>
      <c r="CQ29" s="367"/>
      <c r="CR29" s="367" t="s">
        <v>156</v>
      </c>
      <c r="CS29" s="367"/>
      <c r="CT29" s="367"/>
      <c r="CU29" s="367"/>
      <c r="CV29" s="367" t="s">
        <v>137</v>
      </c>
      <c r="CW29" s="367"/>
      <c r="CX29" s="367"/>
      <c r="CY29" s="367"/>
      <c r="CZ29" s="367" t="s">
        <v>147</v>
      </c>
      <c r="DA29" s="367"/>
      <c r="DB29" s="367"/>
      <c r="DC29" s="367"/>
      <c r="DD29" s="367" t="s">
        <v>162</v>
      </c>
      <c r="DE29" s="373"/>
      <c r="DF29" s="373"/>
      <c r="DG29" s="373"/>
      <c r="DH29" s="372" t="s">
        <v>165</v>
      </c>
      <c r="DI29" s="372"/>
      <c r="DJ29" s="372"/>
      <c r="DK29" s="372"/>
      <c r="DL29" s="372" t="s">
        <v>168</v>
      </c>
      <c r="DM29" s="372"/>
      <c r="DN29" s="372"/>
      <c r="DO29" s="372"/>
      <c r="DP29" s="372" t="s">
        <v>171</v>
      </c>
      <c r="DQ29" s="381"/>
      <c r="DR29" s="381"/>
      <c r="DS29" s="381"/>
      <c r="DT29" s="371" t="s">
        <v>175</v>
      </c>
      <c r="DU29" s="371"/>
      <c r="DV29" s="371"/>
      <c r="DW29" s="371"/>
      <c r="DX29" s="371" t="s">
        <v>144</v>
      </c>
      <c r="DY29" s="371"/>
      <c r="DZ29" s="371"/>
      <c r="EA29" s="371"/>
      <c r="EB29" s="371" t="s">
        <v>182</v>
      </c>
      <c r="EC29" s="371"/>
      <c r="ED29" s="371"/>
      <c r="EE29" s="371"/>
      <c r="EF29" s="371" t="s">
        <v>186</v>
      </c>
      <c r="EG29" s="371"/>
      <c r="EH29" s="371"/>
      <c r="EI29" s="371"/>
      <c r="EJ29" s="374"/>
      <c r="EK29" s="374"/>
      <c r="EL29" s="374"/>
      <c r="EM29" s="374"/>
      <c r="EN29" s="173"/>
      <c r="EO29" s="173"/>
      <c r="EP29" s="173"/>
      <c r="EQ29" s="195"/>
      <c r="ER29" s="173"/>
      <c r="ES29" s="173"/>
      <c r="ET29" s="173"/>
    </row>
    <row r="30" spans="2:150" ht="12.75" customHeight="1" x14ac:dyDescent="0.25">
      <c r="M30" s="178"/>
      <c r="Q30" s="213"/>
      <c r="R30" s="365"/>
      <c r="U30" s="341"/>
      <c r="V30" s="207"/>
      <c r="W30" s="341"/>
      <c r="X30" s="207"/>
      <c r="Y30" s="187"/>
      <c r="Z30" s="365"/>
      <c r="AA30" s="188"/>
      <c r="AB30" s="188"/>
      <c r="AC30" s="188"/>
      <c r="AD30" s="204"/>
      <c r="AE30" s="179"/>
      <c r="AH30" s="214" t="s">
        <v>263</v>
      </c>
      <c r="AI30" s="215" t="s">
        <v>137</v>
      </c>
      <c r="AJ30" s="215" t="s">
        <v>160</v>
      </c>
      <c r="AK30" s="215" t="s">
        <v>140</v>
      </c>
      <c r="AL30" s="216" t="s">
        <v>141</v>
      </c>
      <c r="AM30" s="216" t="s">
        <v>168</v>
      </c>
      <c r="AN30" s="216" t="s">
        <v>143</v>
      </c>
      <c r="AO30" s="217" t="s">
        <v>176</v>
      </c>
      <c r="AP30" s="212"/>
      <c r="CA30" s="194"/>
      <c r="CG30" s="367" t="s">
        <v>148</v>
      </c>
      <c r="CH30" s="367"/>
      <c r="CI30" s="367"/>
      <c r="CJ30" s="367"/>
      <c r="CK30" s="370" t="s">
        <v>135</v>
      </c>
      <c r="CL30" s="370"/>
      <c r="CM30" s="370"/>
      <c r="CN30" s="370"/>
      <c r="CO30" s="367" t="s">
        <v>153</v>
      </c>
      <c r="CP30" s="367"/>
      <c r="CQ30" s="367"/>
      <c r="CR30" s="367"/>
      <c r="CS30" s="367" t="s">
        <v>157</v>
      </c>
      <c r="CT30" s="367"/>
      <c r="CU30" s="367"/>
      <c r="CV30" s="367"/>
      <c r="CW30" s="367" t="s">
        <v>159</v>
      </c>
      <c r="CX30" s="367"/>
      <c r="CY30" s="367"/>
      <c r="CZ30" s="367"/>
      <c r="DA30" s="367" t="s">
        <v>145</v>
      </c>
      <c r="DB30" s="367"/>
      <c r="DC30" s="367"/>
      <c r="DD30" s="367"/>
      <c r="DE30" s="372" t="s">
        <v>163</v>
      </c>
      <c r="DF30" s="372"/>
      <c r="DG30" s="372"/>
      <c r="DH30" s="372"/>
      <c r="DI30" s="372" t="s">
        <v>142</v>
      </c>
      <c r="DJ30" s="372"/>
      <c r="DK30" s="372"/>
      <c r="DL30" s="372"/>
      <c r="DM30" s="372" t="s">
        <v>169</v>
      </c>
      <c r="DN30" s="372"/>
      <c r="DO30" s="372"/>
      <c r="DP30" s="372"/>
      <c r="DQ30" s="371" t="s">
        <v>172</v>
      </c>
      <c r="DR30" s="371"/>
      <c r="DS30" s="371"/>
      <c r="DT30" s="371"/>
      <c r="DU30" s="371" t="s">
        <v>176</v>
      </c>
      <c r="DV30" s="371"/>
      <c r="DW30" s="371"/>
      <c r="DX30" s="371"/>
      <c r="DY30" s="371" t="s">
        <v>179</v>
      </c>
      <c r="DZ30" s="371"/>
      <c r="EA30" s="371"/>
      <c r="EB30" s="371"/>
      <c r="EC30" s="371" t="s">
        <v>183</v>
      </c>
      <c r="ED30" s="371"/>
      <c r="EE30" s="371"/>
      <c r="EF30" s="371"/>
      <c r="EG30" s="371" t="s">
        <v>187</v>
      </c>
      <c r="EH30" s="371"/>
      <c r="EI30" s="371"/>
      <c r="EJ30" s="371"/>
      <c r="EK30" s="374"/>
      <c r="EL30" s="374"/>
      <c r="EM30" s="374"/>
      <c r="EN30" s="374"/>
      <c r="EO30" s="173"/>
      <c r="EP30" s="173"/>
      <c r="EQ30" s="195"/>
      <c r="ER30" s="173"/>
    </row>
    <row r="31" spans="2:150" ht="12.75" customHeight="1" x14ac:dyDescent="0.25">
      <c r="C31" s="186" t="str">
        <f>IF(AND($U$12&lt;&gt;"",$Q$12&lt;&gt;"",$R$12&lt;&gt;"",$Z$12&lt;&gt;"",$AA$12&lt;&gt;""),griglia_combinazioni!E158,"")</f>
        <v/>
      </c>
      <c r="D31" s="186" t="str">
        <f>IF(AND($U$12&lt;&gt;"",$Q$12&lt;&gt;"",$R$12&lt;&gt;"",$Z$12&lt;&gt;"",$AA$12&lt;&gt;""),griglia_combinazioni!F158,"")</f>
        <v/>
      </c>
      <c r="M31" s="178"/>
      <c r="R31" s="365"/>
      <c r="U31" s="341"/>
      <c r="V31" s="207"/>
      <c r="W31" s="341"/>
      <c r="X31" s="207"/>
      <c r="Y31" s="187"/>
      <c r="Z31" s="365"/>
      <c r="AA31" s="188"/>
      <c r="AB31" s="188"/>
      <c r="AC31" s="188"/>
      <c r="AD31" s="204"/>
      <c r="AE31" s="179"/>
      <c r="AH31" s="218" t="s">
        <v>265</v>
      </c>
      <c r="AI31" s="323" t="s">
        <v>309</v>
      </c>
      <c r="AJ31" s="324"/>
      <c r="AK31" s="324"/>
      <c r="AL31" s="324"/>
      <c r="AM31" s="324"/>
      <c r="AN31" s="324"/>
      <c r="AO31" s="325"/>
      <c r="AP31" s="212"/>
      <c r="CA31" s="194"/>
      <c r="CG31" s="173"/>
      <c r="CH31" s="367" t="s">
        <v>134</v>
      </c>
      <c r="CI31" s="367"/>
      <c r="CJ31" s="367"/>
      <c r="CK31" s="367"/>
      <c r="CL31" s="367" t="s">
        <v>151</v>
      </c>
      <c r="CM31" s="367"/>
      <c r="CN31" s="367"/>
      <c r="CO31" s="367"/>
      <c r="CP31" s="367" t="s">
        <v>154</v>
      </c>
      <c r="CQ31" s="367"/>
      <c r="CR31" s="367"/>
      <c r="CS31" s="367"/>
      <c r="CT31" s="367" t="s">
        <v>158</v>
      </c>
      <c r="CU31" s="367"/>
      <c r="CV31" s="367"/>
      <c r="CW31" s="367"/>
      <c r="CX31" s="367" t="s">
        <v>160</v>
      </c>
      <c r="CY31" s="367"/>
      <c r="CZ31" s="367"/>
      <c r="DA31" s="367"/>
      <c r="DB31" s="367" t="s">
        <v>161</v>
      </c>
      <c r="DC31" s="367"/>
      <c r="DD31" s="367"/>
      <c r="DE31" s="368"/>
      <c r="DF31" s="372" t="s">
        <v>141</v>
      </c>
      <c r="DG31" s="372"/>
      <c r="DH31" s="372"/>
      <c r="DI31" s="372"/>
      <c r="DJ31" s="372" t="s">
        <v>166</v>
      </c>
      <c r="DK31" s="372"/>
      <c r="DL31" s="372"/>
      <c r="DM31" s="372"/>
      <c r="DN31" s="372" t="s">
        <v>170</v>
      </c>
      <c r="DO31" s="372"/>
      <c r="DP31" s="372"/>
      <c r="DQ31" s="385"/>
      <c r="DR31" s="371" t="s">
        <v>173</v>
      </c>
      <c r="DS31" s="371"/>
      <c r="DT31" s="371"/>
      <c r="DU31" s="371"/>
      <c r="DV31" s="371" t="s">
        <v>177</v>
      </c>
      <c r="DW31" s="371"/>
      <c r="DX31" s="371"/>
      <c r="DY31" s="371"/>
      <c r="DZ31" s="371" t="s">
        <v>180</v>
      </c>
      <c r="EA31" s="371"/>
      <c r="EB31" s="371"/>
      <c r="EC31" s="371"/>
      <c r="ED31" s="371" t="s">
        <v>184</v>
      </c>
      <c r="EE31" s="371"/>
      <c r="EF31" s="371"/>
      <c r="EG31" s="371"/>
      <c r="EH31" s="371" t="s">
        <v>188</v>
      </c>
      <c r="EI31" s="371"/>
      <c r="EJ31" s="371"/>
      <c r="EK31" s="371"/>
      <c r="EL31" s="374"/>
      <c r="EM31" s="374"/>
      <c r="EN31" s="374"/>
      <c r="EO31" s="374"/>
      <c r="EP31" s="173"/>
      <c r="EQ31" s="195"/>
      <c r="ER31" s="173"/>
      <c r="ES31" s="173"/>
    </row>
    <row r="32" spans="2:150" ht="12.75" customHeight="1" x14ac:dyDescent="0.25">
      <c r="C32" s="186" t="str">
        <f>IF(AND($U$12&lt;&gt;"",$Q$12&lt;&gt;"",$R$12&lt;&gt;"",$Z$12&lt;&gt;"",$AA$12&lt;&gt;""),griglia_combinazioni!E159,"")</f>
        <v/>
      </c>
      <c r="D32" s="186" t="str">
        <f>IF(AND($U$12&lt;&gt;"",$Q$12&lt;&gt;"",$R$12&lt;&gt;"",$Z$12&lt;&gt;"",$AA$12&lt;&gt;""),griglia_combinazioni!F159,"")</f>
        <v/>
      </c>
      <c r="M32" s="178"/>
      <c r="R32" s="365"/>
      <c r="U32" s="341"/>
      <c r="W32" s="341"/>
      <c r="Y32" s="187"/>
      <c r="Z32" s="365"/>
      <c r="AA32" s="188"/>
      <c r="AB32" s="188"/>
      <c r="AC32" s="188"/>
      <c r="AD32" s="204"/>
      <c r="AE32" s="179"/>
      <c r="AH32" s="218" t="s">
        <v>266</v>
      </c>
      <c r="AI32" s="326"/>
      <c r="AJ32" s="327"/>
      <c r="AK32" s="327"/>
      <c r="AL32" s="327"/>
      <c r="AM32" s="327"/>
      <c r="AN32" s="327"/>
      <c r="AO32" s="328"/>
      <c r="CA32" s="194"/>
      <c r="CI32" s="367" t="s">
        <v>149</v>
      </c>
      <c r="CJ32" s="369"/>
      <c r="CK32" s="369"/>
      <c r="CL32" s="369"/>
      <c r="CM32" s="367" t="s">
        <v>152</v>
      </c>
      <c r="CN32" s="367"/>
      <c r="CO32" s="367"/>
      <c r="CP32" s="367"/>
      <c r="CQ32" s="367" t="s">
        <v>155</v>
      </c>
      <c r="CR32" s="367"/>
      <c r="CS32" s="367"/>
      <c r="CT32" s="367"/>
      <c r="CU32" s="367" t="s">
        <v>136</v>
      </c>
      <c r="CV32" s="367"/>
      <c r="CW32" s="367"/>
      <c r="CX32" s="367"/>
      <c r="CY32" s="367" t="s">
        <v>139</v>
      </c>
      <c r="CZ32" s="367"/>
      <c r="DA32" s="367"/>
      <c r="DB32" s="367"/>
      <c r="DC32" s="367" t="s">
        <v>140</v>
      </c>
      <c r="DD32" s="367"/>
      <c r="DE32" s="367"/>
      <c r="DF32" s="368"/>
      <c r="DG32" s="372" t="s">
        <v>164</v>
      </c>
      <c r="DH32" s="372"/>
      <c r="DI32" s="372"/>
      <c r="DJ32" s="372"/>
      <c r="DK32" s="372" t="s">
        <v>167</v>
      </c>
      <c r="DL32" s="372"/>
      <c r="DM32" s="372"/>
      <c r="DN32" s="372"/>
      <c r="DO32" s="372" t="s">
        <v>143</v>
      </c>
      <c r="DP32" s="372"/>
      <c r="DQ32" s="372"/>
      <c r="DR32" s="385"/>
      <c r="DS32" s="371" t="s">
        <v>174</v>
      </c>
      <c r="DT32" s="371"/>
      <c r="DU32" s="371"/>
      <c r="DV32" s="371"/>
      <c r="DW32" s="371" t="s">
        <v>178</v>
      </c>
      <c r="DX32" s="371"/>
      <c r="DY32" s="371"/>
      <c r="DZ32" s="371"/>
      <c r="EA32" s="371" t="s">
        <v>181</v>
      </c>
      <c r="EB32" s="371"/>
      <c r="EC32" s="371"/>
      <c r="ED32" s="371"/>
      <c r="EE32" s="371" t="s">
        <v>185</v>
      </c>
      <c r="EF32" s="371"/>
      <c r="EG32" s="371"/>
      <c r="EH32" s="371"/>
      <c r="EI32" s="371" t="s">
        <v>189</v>
      </c>
      <c r="EJ32" s="371"/>
      <c r="EK32" s="371"/>
      <c r="EL32" s="371"/>
      <c r="EM32" s="376"/>
      <c r="EN32" s="374"/>
      <c r="EO32" s="374"/>
      <c r="EP32" s="374"/>
      <c r="EQ32" s="195"/>
      <c r="ER32" s="173"/>
      <c r="ES32" s="173"/>
      <c r="ET32" s="173"/>
    </row>
    <row r="33" spans="1:147" ht="12.75" customHeight="1" thickBot="1" x14ac:dyDescent="0.3">
      <c r="C33" s="186" t="str">
        <f>IF(AND($U$12&lt;&gt;"",$Q$12&lt;&gt;"",$R$12&lt;&gt;"",$Z$12&lt;&gt;"",$AA$12&lt;&gt;""),griglia_combinazioni!E160,"")</f>
        <v/>
      </c>
      <c r="D33" s="186" t="str">
        <f>IF(AND($U$12&lt;&gt;"",$Q$12&lt;&gt;"",$R$12&lt;&gt;"",$Z$12&lt;&gt;"",$AA$12&lt;&gt;""),griglia_combinazioni!F160,"")</f>
        <v/>
      </c>
      <c r="M33" s="178"/>
      <c r="U33" s="340" t="str">
        <f>IF(AND(U12&lt;&gt;"",Q12&lt;&gt;"",R12&lt;&gt;"",Z12&lt;&gt;"",AA12&lt;&gt;""),C41,"")</f>
        <v xml:space="preserve">Interf. max: </v>
      </c>
      <c r="W33" s="340" t="str">
        <f>IF(AND(U12&lt;&gt;"",Q12&lt;&gt;"",R12&lt;&gt;"",Z12&lt;&gt;"",AA12&lt;&gt;""),C43,"")</f>
        <v xml:space="preserve">Interf. Min.: </v>
      </c>
      <c r="Y33" s="187"/>
      <c r="Z33" s="188"/>
      <c r="AA33" s="188"/>
      <c r="AB33" s="188"/>
      <c r="AC33" s="188"/>
      <c r="AD33" s="204"/>
      <c r="AE33" s="179"/>
      <c r="AH33" s="219" t="s">
        <v>146</v>
      </c>
      <c r="AI33" s="329"/>
      <c r="AJ33" s="330"/>
      <c r="AK33" s="330"/>
      <c r="AL33" s="330"/>
      <c r="AM33" s="330"/>
      <c r="AN33" s="330"/>
      <c r="AO33" s="331"/>
      <c r="CA33" s="194"/>
      <c r="CB33" s="384" t="s">
        <v>192</v>
      </c>
      <c r="CC33" s="384"/>
      <c r="CD33" s="384"/>
      <c r="CE33" s="384"/>
      <c r="CF33" s="384"/>
      <c r="CG33" s="384"/>
      <c r="CH33" s="384"/>
      <c r="CI33" s="384"/>
      <c r="CJ33" s="384"/>
      <c r="CK33" s="384"/>
      <c r="CL33" s="384"/>
      <c r="CM33" s="384"/>
      <c r="CN33" s="384"/>
      <c r="CO33" s="384"/>
      <c r="CP33" s="384"/>
      <c r="CQ33" s="384"/>
      <c r="CR33" s="386"/>
      <c r="CS33" s="386"/>
      <c r="CT33" s="386"/>
      <c r="CU33" s="386"/>
      <c r="CV33" s="386"/>
      <c r="CW33" s="386"/>
      <c r="CX33" s="386"/>
      <c r="CY33" s="386"/>
      <c r="CZ33" s="386"/>
      <c r="DA33" s="387" t="s">
        <v>191</v>
      </c>
      <c r="DB33" s="387"/>
      <c r="DC33" s="387"/>
      <c r="DD33" s="387"/>
      <c r="DE33" s="387"/>
      <c r="DF33" s="387"/>
      <c r="DG33" s="387"/>
      <c r="DH33" s="387"/>
      <c r="DI33" s="387"/>
      <c r="DJ33" s="387"/>
      <c r="DK33" s="387"/>
      <c r="DL33" s="387"/>
      <c r="DM33" s="387"/>
      <c r="DN33" s="387"/>
      <c r="DO33" s="387"/>
      <c r="DP33" s="387"/>
      <c r="DQ33" s="386"/>
      <c r="DR33" s="386"/>
      <c r="DS33" s="386"/>
      <c r="DT33" s="386"/>
      <c r="DU33" s="386"/>
      <c r="DV33" s="386"/>
      <c r="DW33" s="386"/>
      <c r="DX33" s="386"/>
      <c r="DY33" s="386"/>
      <c r="DZ33" s="375" t="s">
        <v>190</v>
      </c>
      <c r="EA33" s="375"/>
      <c r="EB33" s="375"/>
      <c r="EC33" s="375"/>
      <c r="ED33" s="375"/>
      <c r="EE33" s="375"/>
      <c r="EF33" s="375"/>
      <c r="EG33" s="375"/>
      <c r="EH33" s="375"/>
      <c r="EI33" s="375"/>
      <c r="EJ33" s="375"/>
      <c r="EK33" s="375"/>
      <c r="EL33" s="375"/>
      <c r="EM33" s="375"/>
      <c r="EN33" s="375"/>
      <c r="EO33" s="375"/>
      <c r="EQ33" s="195"/>
    </row>
    <row r="34" spans="1:147" ht="12.75" customHeight="1" thickBot="1" x14ac:dyDescent="0.3">
      <c r="C34" s="186" t="str">
        <f>IF(AND($U$12&lt;&gt;"",$Q$12&lt;&gt;"",$R$12&lt;&gt;"",$Z$12&lt;&gt;"",$AA$12&lt;&gt;""),griglia_combinazioni!E161,"")</f>
        <v/>
      </c>
      <c r="D34" s="186" t="str">
        <f>IF(AND($U$12&lt;&gt;"",$Q$12&lt;&gt;"",$R$12&lt;&gt;"",$Z$12&lt;&gt;"",$AA$12&lt;&gt;""),griglia_combinazioni!F161,"")</f>
        <v/>
      </c>
      <c r="M34" s="178"/>
      <c r="U34" s="340"/>
      <c r="W34" s="340"/>
      <c r="Y34" s="198"/>
      <c r="Z34" s="199"/>
      <c r="AA34" s="199"/>
      <c r="AB34" s="199"/>
      <c r="AC34" s="199"/>
      <c r="AD34" s="220"/>
      <c r="AE34" s="179"/>
      <c r="AH34" s="205"/>
      <c r="AO34" s="206"/>
      <c r="CA34" s="194"/>
      <c r="CB34" s="384"/>
      <c r="CC34" s="384"/>
      <c r="CD34" s="384"/>
      <c r="CE34" s="384"/>
      <c r="CF34" s="384"/>
      <c r="CG34" s="384"/>
      <c r="CH34" s="384"/>
      <c r="CI34" s="384"/>
      <c r="CJ34" s="384"/>
      <c r="CK34" s="384"/>
      <c r="CL34" s="384"/>
      <c r="CM34" s="384"/>
      <c r="CN34" s="384"/>
      <c r="CO34" s="384"/>
      <c r="CP34" s="384"/>
      <c r="CQ34" s="384"/>
      <c r="CR34" s="365"/>
      <c r="CS34" s="365"/>
      <c r="CT34" s="365"/>
      <c r="CU34" s="365"/>
      <c r="CV34" s="365"/>
      <c r="CW34" s="365"/>
      <c r="CX34" s="365"/>
      <c r="CY34" s="365"/>
      <c r="CZ34" s="365"/>
      <c r="DA34" s="388"/>
      <c r="DB34" s="388"/>
      <c r="DC34" s="388"/>
      <c r="DD34" s="388"/>
      <c r="DE34" s="388"/>
      <c r="DF34" s="388"/>
      <c r="DG34" s="388"/>
      <c r="DH34" s="388"/>
      <c r="DI34" s="388"/>
      <c r="DJ34" s="388"/>
      <c r="DK34" s="388"/>
      <c r="DL34" s="388"/>
      <c r="DM34" s="388"/>
      <c r="DN34" s="388"/>
      <c r="DO34" s="388"/>
      <c r="DP34" s="388"/>
      <c r="DQ34" s="365"/>
      <c r="DR34" s="365"/>
      <c r="DS34" s="365"/>
      <c r="DT34" s="365"/>
      <c r="DU34" s="365"/>
      <c r="DV34" s="365"/>
      <c r="DW34" s="365"/>
      <c r="DX34" s="365"/>
      <c r="DY34" s="365"/>
      <c r="DZ34" s="375"/>
      <c r="EA34" s="375"/>
      <c r="EB34" s="375"/>
      <c r="EC34" s="375"/>
      <c r="ED34" s="375"/>
      <c r="EE34" s="375"/>
      <c r="EF34" s="375"/>
      <c r="EG34" s="375"/>
      <c r="EH34" s="375"/>
      <c r="EI34" s="375"/>
      <c r="EJ34" s="375"/>
      <c r="EK34" s="375"/>
      <c r="EL34" s="375"/>
      <c r="EM34" s="375"/>
      <c r="EN34" s="375"/>
      <c r="EO34" s="375"/>
      <c r="EQ34" s="195"/>
    </row>
    <row r="35" spans="1:147" x14ac:dyDescent="0.25">
      <c r="C35" s="186" t="str">
        <f>IF(AND($U$12&lt;&gt;"",$Q$12&lt;&gt;"",$R$12&lt;&gt;"",$Z$12&lt;&gt;"",$AA$12&lt;&gt;""),griglia_combinazioni!E162,"")</f>
        <v>R</v>
      </c>
      <c r="D35" s="186" t="str">
        <f>IF(AND($U$12&lt;&gt;"",$Q$12&lt;&gt;"",$R$12&lt;&gt;"",$Z$12&lt;&gt;"",$AA$12&lt;&gt;""),griglia_combinazioni!F162,"")</f>
        <v/>
      </c>
      <c r="M35" s="178"/>
      <c r="N35" s="201"/>
      <c r="O35" s="202"/>
      <c r="P35" s="202"/>
      <c r="Q35" s="202"/>
      <c r="R35" s="202"/>
      <c r="S35" s="221"/>
      <c r="U35" s="340"/>
      <c r="W35" s="340"/>
      <c r="AE35" s="179"/>
      <c r="AH35" s="208" t="s">
        <v>261</v>
      </c>
      <c r="AI35" s="210" t="s">
        <v>267</v>
      </c>
      <c r="AJ35" s="210" t="s">
        <v>268</v>
      </c>
      <c r="AK35" s="166"/>
      <c r="AL35" s="166"/>
      <c r="AM35" s="166"/>
      <c r="AN35" s="332" t="s">
        <v>310</v>
      </c>
      <c r="AO35" s="333"/>
      <c r="CA35" s="194"/>
      <c r="CB35" s="367" t="s">
        <v>196</v>
      </c>
      <c r="CC35" s="367"/>
      <c r="CD35" s="367"/>
      <c r="CE35" s="367"/>
      <c r="CF35" s="367" t="s">
        <v>200</v>
      </c>
      <c r="CG35" s="369"/>
      <c r="CH35" s="369"/>
      <c r="CI35" s="369"/>
      <c r="CJ35" s="367" t="s">
        <v>204</v>
      </c>
      <c r="CK35" s="367"/>
      <c r="CL35" s="367"/>
      <c r="CM35" s="367"/>
      <c r="CN35" s="367" t="s">
        <v>208</v>
      </c>
      <c r="CO35" s="367"/>
      <c r="CP35" s="367"/>
      <c r="CQ35" s="367"/>
      <c r="CR35" s="367" t="s">
        <v>212</v>
      </c>
      <c r="CS35" s="367"/>
      <c r="CT35" s="367"/>
      <c r="CU35" s="367"/>
      <c r="CV35" s="367" t="s">
        <v>216</v>
      </c>
      <c r="CW35" s="367"/>
      <c r="CX35" s="367"/>
      <c r="CY35" s="367"/>
      <c r="CZ35" s="367" t="s">
        <v>220</v>
      </c>
      <c r="DA35" s="373"/>
      <c r="DB35" s="373"/>
      <c r="DC35" s="373"/>
      <c r="DD35" s="367" t="s">
        <v>224</v>
      </c>
      <c r="DE35" s="367"/>
      <c r="DF35" s="367"/>
      <c r="DG35" s="367"/>
      <c r="DH35" s="367" t="s">
        <v>228</v>
      </c>
      <c r="DI35" s="367"/>
      <c r="DJ35" s="367"/>
      <c r="DK35" s="367"/>
      <c r="DL35" s="367" t="s">
        <v>232</v>
      </c>
      <c r="DM35" s="373"/>
      <c r="DN35" s="373"/>
      <c r="DO35" s="373"/>
      <c r="DP35" s="372" t="s">
        <v>236</v>
      </c>
      <c r="DQ35" s="372"/>
      <c r="DR35" s="372"/>
      <c r="DS35" s="372"/>
      <c r="DT35" s="372" t="s">
        <v>240</v>
      </c>
      <c r="DU35" s="372"/>
      <c r="DV35" s="372"/>
      <c r="DW35" s="372"/>
      <c r="DX35" s="372" t="s">
        <v>244</v>
      </c>
      <c r="DY35" s="372"/>
      <c r="DZ35" s="372"/>
      <c r="EA35" s="372"/>
      <c r="EB35" s="371" t="s">
        <v>248</v>
      </c>
      <c r="EC35" s="371"/>
      <c r="ED35" s="371"/>
      <c r="EE35" s="371"/>
      <c r="EF35" s="371" t="s">
        <v>252</v>
      </c>
      <c r="EG35" s="371"/>
      <c r="EH35" s="371"/>
      <c r="EI35" s="371"/>
      <c r="EJ35" s="371" t="s">
        <v>256</v>
      </c>
      <c r="EK35" s="371"/>
      <c r="EL35" s="371"/>
      <c r="EM35" s="371"/>
      <c r="EN35" s="173"/>
      <c r="EO35" s="173"/>
      <c r="EP35" s="173"/>
      <c r="EQ35" s="195"/>
    </row>
    <row r="36" spans="1:147" x14ac:dyDescent="0.25">
      <c r="C36" s="186" t="str">
        <f>IF(AND($U$12&lt;&gt;"",$Q$12&lt;&gt;"",$R$12&lt;&gt;"",$Z$12&lt;&gt;"",$AA$12&lt;&gt;""),griglia_combinazioni!E163,"")</f>
        <v>R</v>
      </c>
      <c r="D36" s="186" t="str">
        <f>IF(AND($U$12&lt;&gt;"",$Q$12&lt;&gt;"",$R$12&lt;&gt;"",$Z$12&lt;&gt;"",$AA$12&lt;&gt;""),griglia_combinazioni!F163,"")</f>
        <v>R</v>
      </c>
      <c r="M36" s="178"/>
      <c r="N36" s="187"/>
      <c r="O36" s="188"/>
      <c r="P36" s="188"/>
      <c r="Q36" s="188"/>
      <c r="R36" s="188"/>
      <c r="S36" s="189"/>
      <c r="U36" s="340"/>
      <c r="W36" s="340"/>
      <c r="AE36" s="179"/>
      <c r="AH36" s="214" t="s">
        <v>269</v>
      </c>
      <c r="AI36" s="215" t="s">
        <v>270</v>
      </c>
      <c r="AJ36" s="216" t="s">
        <v>271</v>
      </c>
      <c r="AK36" s="216" t="s">
        <v>272</v>
      </c>
      <c r="AL36" s="216" t="s">
        <v>273</v>
      </c>
      <c r="AM36" s="216" t="s">
        <v>274</v>
      </c>
      <c r="AN36" s="327"/>
      <c r="AO36" s="328"/>
      <c r="CA36" s="194"/>
      <c r="CC36" s="367" t="s">
        <v>197</v>
      </c>
      <c r="CD36" s="367"/>
      <c r="CE36" s="367"/>
      <c r="CF36" s="367"/>
      <c r="CG36" s="367" t="s">
        <v>201</v>
      </c>
      <c r="CH36" s="367"/>
      <c r="CI36" s="367"/>
      <c r="CJ36" s="367"/>
      <c r="CK36" s="367" t="s">
        <v>205</v>
      </c>
      <c r="CL36" s="367"/>
      <c r="CM36" s="367"/>
      <c r="CN36" s="367"/>
      <c r="CO36" s="367" t="s">
        <v>209</v>
      </c>
      <c r="CP36" s="367"/>
      <c r="CQ36" s="367"/>
      <c r="CR36" s="367"/>
      <c r="CS36" s="367" t="s">
        <v>213</v>
      </c>
      <c r="CT36" s="367"/>
      <c r="CU36" s="367"/>
      <c r="CV36" s="367"/>
      <c r="CW36" s="367" t="s">
        <v>217</v>
      </c>
      <c r="CX36" s="367"/>
      <c r="CY36" s="367"/>
      <c r="CZ36" s="367"/>
      <c r="DA36" s="367" t="s">
        <v>221</v>
      </c>
      <c r="DB36" s="367"/>
      <c r="DC36" s="367"/>
      <c r="DD36" s="367"/>
      <c r="DE36" s="367" t="s">
        <v>225</v>
      </c>
      <c r="DF36" s="367"/>
      <c r="DG36" s="367"/>
      <c r="DH36" s="367"/>
      <c r="DI36" s="367" t="s">
        <v>229</v>
      </c>
      <c r="DJ36" s="367"/>
      <c r="DK36" s="367"/>
      <c r="DL36" s="367"/>
      <c r="DM36" s="367" t="s">
        <v>233</v>
      </c>
      <c r="DN36" s="367"/>
      <c r="DO36" s="367"/>
      <c r="DP36" s="367"/>
      <c r="DQ36" s="372" t="s">
        <v>237</v>
      </c>
      <c r="DR36" s="372"/>
      <c r="DS36" s="372"/>
      <c r="DT36" s="372"/>
      <c r="DU36" s="372" t="s">
        <v>242</v>
      </c>
      <c r="DV36" s="372"/>
      <c r="DW36" s="372"/>
      <c r="DX36" s="372"/>
      <c r="DY36" s="372" t="s">
        <v>245</v>
      </c>
      <c r="DZ36" s="372"/>
      <c r="EA36" s="372"/>
      <c r="EB36" s="372"/>
      <c r="EC36" s="371" t="s">
        <v>249</v>
      </c>
      <c r="ED36" s="371"/>
      <c r="EE36" s="371"/>
      <c r="EF36" s="371"/>
      <c r="EG36" s="371" t="s">
        <v>253</v>
      </c>
      <c r="EH36" s="371"/>
      <c r="EI36" s="371"/>
      <c r="EJ36" s="371"/>
      <c r="EK36" s="371" t="s">
        <v>257</v>
      </c>
      <c r="EL36" s="371"/>
      <c r="EM36" s="371"/>
      <c r="EN36" s="371"/>
      <c r="EQ36" s="195"/>
    </row>
    <row r="37" spans="1:147" ht="12.75" customHeight="1" thickBot="1" x14ac:dyDescent="0.3">
      <c r="C37" s="186" t="str">
        <f>IF(AND($U$12&lt;&gt;"",$Q$12&lt;&gt;"",$R$12&lt;&gt;"",$Z$12&lt;&gt;"",$AA$12&lt;&gt;""),griglia_combinazioni!E164,"")</f>
        <v>R</v>
      </c>
      <c r="D37" s="186" t="str">
        <f>IF(AND($U$12&lt;&gt;"",$Q$12&lt;&gt;"",$R$12&lt;&gt;"",$Z$12&lt;&gt;"",$AA$12&lt;&gt;""),griglia_combinazioni!F164,"")</f>
        <v/>
      </c>
      <c r="M37" s="178"/>
      <c r="N37" s="222"/>
      <c r="O37" s="223"/>
      <c r="P37" s="223"/>
      <c r="Q37" s="223"/>
      <c r="R37" s="223"/>
      <c r="S37" s="224"/>
      <c r="U37" s="383"/>
      <c r="W37" s="383"/>
      <c r="AE37" s="179"/>
      <c r="AH37" s="219" t="s">
        <v>275</v>
      </c>
      <c r="AI37" s="251" t="s">
        <v>276</v>
      </c>
      <c r="AJ37" s="251" t="s">
        <v>277</v>
      </c>
      <c r="AK37" s="252" t="s">
        <v>278</v>
      </c>
      <c r="AL37" s="175"/>
      <c r="AM37" s="175"/>
      <c r="AN37" s="330"/>
      <c r="AO37" s="331"/>
      <c r="CA37" s="194"/>
      <c r="CC37" s="173"/>
      <c r="CD37" s="367" t="s">
        <v>198</v>
      </c>
      <c r="CE37" s="367"/>
      <c r="CF37" s="367"/>
      <c r="CG37" s="367"/>
      <c r="CH37" s="367" t="s">
        <v>203</v>
      </c>
      <c r="CI37" s="367"/>
      <c r="CJ37" s="367"/>
      <c r="CK37" s="367"/>
      <c r="CL37" s="367" t="s">
        <v>206</v>
      </c>
      <c r="CM37" s="367"/>
      <c r="CN37" s="367"/>
      <c r="CO37" s="367"/>
      <c r="CP37" s="367" t="s">
        <v>210</v>
      </c>
      <c r="CQ37" s="367"/>
      <c r="CR37" s="367"/>
      <c r="CS37" s="367"/>
      <c r="CT37" s="367" t="s">
        <v>214</v>
      </c>
      <c r="CU37" s="367"/>
      <c r="CV37" s="367"/>
      <c r="CW37" s="367"/>
      <c r="CX37" s="367" t="s">
        <v>218</v>
      </c>
      <c r="CY37" s="367"/>
      <c r="CZ37" s="367"/>
      <c r="DA37" s="368"/>
      <c r="DB37" s="367" t="s">
        <v>222</v>
      </c>
      <c r="DC37" s="367"/>
      <c r="DD37" s="367"/>
      <c r="DE37" s="367"/>
      <c r="DF37" s="367" t="s">
        <v>226</v>
      </c>
      <c r="DG37" s="367"/>
      <c r="DH37" s="367"/>
      <c r="DI37" s="367"/>
      <c r="DJ37" s="367" t="s">
        <v>230</v>
      </c>
      <c r="DK37" s="367"/>
      <c r="DL37" s="367"/>
      <c r="DM37" s="368"/>
      <c r="DN37" s="367" t="s">
        <v>234</v>
      </c>
      <c r="DO37" s="367"/>
      <c r="DP37" s="367"/>
      <c r="DQ37" s="367"/>
      <c r="DR37" s="372" t="s">
        <v>238</v>
      </c>
      <c r="DS37" s="372"/>
      <c r="DT37" s="372"/>
      <c r="DU37" s="372"/>
      <c r="DV37" s="372" t="s">
        <v>241</v>
      </c>
      <c r="DW37" s="372"/>
      <c r="DX37" s="372"/>
      <c r="DY37" s="372"/>
      <c r="DZ37" s="372" t="s">
        <v>246</v>
      </c>
      <c r="EA37" s="372"/>
      <c r="EB37" s="372"/>
      <c r="EC37" s="372"/>
      <c r="ED37" s="371" t="s">
        <v>250</v>
      </c>
      <c r="EE37" s="371"/>
      <c r="EF37" s="371"/>
      <c r="EG37" s="371"/>
      <c r="EH37" s="371" t="s">
        <v>254</v>
      </c>
      <c r="EI37" s="371"/>
      <c r="EJ37" s="371"/>
      <c r="EK37" s="371"/>
      <c r="EL37" s="371" t="s">
        <v>258</v>
      </c>
      <c r="EM37" s="371"/>
      <c r="EN37" s="371"/>
      <c r="EO37" s="371"/>
      <c r="EP37" s="225"/>
      <c r="EQ37" s="195"/>
    </row>
    <row r="38" spans="1:147" ht="12" customHeight="1" x14ac:dyDescent="0.25">
      <c r="C38" s="186" t="str">
        <f>IF(AND($U$12&lt;&gt;"",$Q$12&lt;&gt;"",$R$12&lt;&gt;"",$Z$12&lt;&gt;"",$AA$12&lt;&gt;""),griglia_combinazioni!E165,"")</f>
        <v/>
      </c>
      <c r="D38" s="186" t="str">
        <f>IF(AND($U$12&lt;&gt;"",$Q$12&lt;&gt;"",$R$12&lt;&gt;"",$Z$12&lt;&gt;"",$AA$12&lt;&gt;""),griglia_combinazioni!F165,"")</f>
        <v/>
      </c>
      <c r="M38" s="178"/>
      <c r="AE38" s="179"/>
      <c r="AH38" s="284"/>
      <c r="AI38" s="273"/>
      <c r="AJ38" s="273"/>
      <c r="AK38" s="273"/>
      <c r="AL38" s="273"/>
      <c r="AM38" s="273"/>
      <c r="AN38" s="273"/>
      <c r="AO38" s="285"/>
      <c r="CA38" s="194"/>
      <c r="CE38" s="367" t="s">
        <v>199</v>
      </c>
      <c r="CF38" s="369"/>
      <c r="CG38" s="369"/>
      <c r="CH38" s="369"/>
      <c r="CI38" s="367" t="s">
        <v>202</v>
      </c>
      <c r="CJ38" s="367"/>
      <c r="CK38" s="367"/>
      <c r="CL38" s="367"/>
      <c r="CM38" s="370" t="s">
        <v>207</v>
      </c>
      <c r="CN38" s="370"/>
      <c r="CO38" s="370"/>
      <c r="CP38" s="370"/>
      <c r="CQ38" s="367" t="s">
        <v>211</v>
      </c>
      <c r="CR38" s="367"/>
      <c r="CS38" s="367"/>
      <c r="CT38" s="367"/>
      <c r="CU38" s="367" t="s">
        <v>215</v>
      </c>
      <c r="CV38" s="367"/>
      <c r="CW38" s="367"/>
      <c r="CX38" s="367"/>
      <c r="CY38" s="367" t="s">
        <v>219</v>
      </c>
      <c r="CZ38" s="367"/>
      <c r="DA38" s="367"/>
      <c r="DB38" s="368"/>
      <c r="DC38" s="367" t="s">
        <v>223</v>
      </c>
      <c r="DD38" s="367"/>
      <c r="DE38" s="367"/>
      <c r="DF38" s="367"/>
      <c r="DG38" s="367" t="s">
        <v>227</v>
      </c>
      <c r="DH38" s="367"/>
      <c r="DI38" s="367"/>
      <c r="DJ38" s="367"/>
      <c r="DK38" s="367" t="s">
        <v>231</v>
      </c>
      <c r="DL38" s="367"/>
      <c r="DM38" s="367"/>
      <c r="DN38" s="368"/>
      <c r="DO38" s="372" t="s">
        <v>235</v>
      </c>
      <c r="DP38" s="372"/>
      <c r="DQ38" s="372"/>
      <c r="DR38" s="372"/>
      <c r="DS38" s="372" t="s">
        <v>239</v>
      </c>
      <c r="DT38" s="372"/>
      <c r="DU38" s="372"/>
      <c r="DV38" s="372"/>
      <c r="DW38" s="372" t="s">
        <v>243</v>
      </c>
      <c r="DX38" s="372"/>
      <c r="DY38" s="372"/>
      <c r="DZ38" s="372"/>
      <c r="EA38" s="371" t="s">
        <v>247</v>
      </c>
      <c r="EB38" s="371"/>
      <c r="EC38" s="371"/>
      <c r="ED38" s="371"/>
      <c r="EE38" s="371" t="s">
        <v>251</v>
      </c>
      <c r="EF38" s="371"/>
      <c r="EG38" s="371"/>
      <c r="EH38" s="371"/>
      <c r="EI38" s="371" t="s">
        <v>255</v>
      </c>
      <c r="EJ38" s="371"/>
      <c r="EK38" s="371"/>
      <c r="EL38" s="371"/>
      <c r="EM38" s="371" t="s">
        <v>259</v>
      </c>
      <c r="EN38" s="371"/>
      <c r="EO38" s="371"/>
      <c r="EP38" s="371"/>
      <c r="EQ38" s="195"/>
    </row>
    <row r="39" spans="1:147" ht="13.8" x14ac:dyDescent="0.25">
      <c r="M39" s="178"/>
      <c r="N39" s="299" t="s">
        <v>294</v>
      </c>
      <c r="O39" s="300"/>
      <c r="P39" s="300"/>
      <c r="Q39" s="300"/>
      <c r="R39" s="300"/>
      <c r="S39" s="301"/>
      <c r="U39" s="391" t="s">
        <v>296</v>
      </c>
      <c r="V39" s="392"/>
      <c r="W39" s="393"/>
      <c r="Y39" s="293" t="s">
        <v>295</v>
      </c>
      <c r="Z39" s="294"/>
      <c r="AA39" s="294"/>
      <c r="AB39" s="294"/>
      <c r="AC39" s="294"/>
      <c r="AD39" s="295"/>
      <c r="AE39" s="179"/>
      <c r="AH39" s="286" t="s">
        <v>311</v>
      </c>
      <c r="AI39" s="287"/>
      <c r="AJ39" s="250"/>
      <c r="AK39" s="288" t="s">
        <v>313</v>
      </c>
      <c r="AL39" s="289"/>
      <c r="AM39" s="250"/>
      <c r="AN39" s="290" t="s">
        <v>312</v>
      </c>
      <c r="AO39" s="291"/>
      <c r="CA39" s="194"/>
      <c r="CB39" s="366" t="s">
        <v>194</v>
      </c>
      <c r="CC39" s="366"/>
      <c r="CD39" s="366"/>
      <c r="CE39" s="366"/>
      <c r="CF39" s="366"/>
      <c r="CG39" s="366"/>
      <c r="CH39" s="366"/>
      <c r="CI39" s="366"/>
      <c r="CJ39" s="366"/>
      <c r="CK39" s="366"/>
      <c r="CL39" s="366"/>
      <c r="CM39" s="366"/>
      <c r="CN39" s="366"/>
      <c r="CO39" s="366"/>
      <c r="CP39" s="366"/>
      <c r="CQ39" s="366"/>
      <c r="CR39" s="366"/>
      <c r="CS39" s="366"/>
      <c r="CT39" s="366"/>
      <c r="CU39" s="366"/>
      <c r="CV39" s="366"/>
      <c r="CW39" s="366"/>
      <c r="CX39" s="366"/>
      <c r="CY39" s="366"/>
      <c r="CZ39" s="366"/>
      <c r="DA39" s="366"/>
      <c r="DB39" s="366"/>
      <c r="DC39" s="366"/>
      <c r="DD39" s="366"/>
      <c r="DE39" s="366"/>
      <c r="DF39" s="366"/>
      <c r="DG39" s="366"/>
      <c r="DH39" s="366"/>
      <c r="DI39" s="366"/>
      <c r="DJ39" s="366"/>
      <c r="DK39" s="366"/>
      <c r="DL39" s="366"/>
      <c r="DM39" s="366"/>
      <c r="DN39" s="366"/>
      <c r="DO39" s="366"/>
      <c r="DP39" s="366"/>
      <c r="DQ39" s="366"/>
      <c r="DR39" s="366"/>
      <c r="DS39" s="366"/>
      <c r="DT39" s="366"/>
      <c r="DU39" s="366"/>
      <c r="DV39" s="366"/>
      <c r="DW39" s="366"/>
      <c r="DX39" s="366"/>
      <c r="DY39" s="366"/>
      <c r="DZ39" s="366"/>
      <c r="EA39" s="366"/>
      <c r="EB39" s="366"/>
      <c r="EC39" s="366"/>
      <c r="ED39" s="366"/>
      <c r="EE39" s="366"/>
      <c r="EF39" s="366"/>
      <c r="EG39" s="366"/>
      <c r="EH39" s="366"/>
      <c r="EI39" s="366"/>
      <c r="EJ39" s="366"/>
      <c r="EK39" s="366"/>
      <c r="EL39" s="366"/>
      <c r="EM39" s="366"/>
      <c r="EN39" s="366"/>
      <c r="EO39" s="366"/>
      <c r="EP39" s="365"/>
      <c r="EQ39" s="195"/>
    </row>
    <row r="40" spans="1:147" ht="4.5" customHeight="1" x14ac:dyDescent="0.25">
      <c r="M40" s="178"/>
      <c r="U40" s="226"/>
      <c r="W40" s="227"/>
      <c r="AE40" s="179"/>
      <c r="AH40" s="205"/>
      <c r="AO40" s="206"/>
      <c r="CA40" s="194"/>
      <c r="CB40" s="366"/>
      <c r="CC40" s="366"/>
      <c r="CD40" s="366"/>
      <c r="CE40" s="366"/>
      <c r="CF40" s="366"/>
      <c r="CG40" s="366"/>
      <c r="CH40" s="366"/>
      <c r="CI40" s="366"/>
      <c r="CJ40" s="366"/>
      <c r="CK40" s="366"/>
      <c r="CL40" s="366"/>
      <c r="CM40" s="366"/>
      <c r="CN40" s="366"/>
      <c r="CO40" s="366"/>
      <c r="CP40" s="366"/>
      <c r="CQ40" s="366"/>
      <c r="CR40" s="366"/>
      <c r="CS40" s="366"/>
      <c r="CT40" s="366"/>
      <c r="CU40" s="366"/>
      <c r="CV40" s="366"/>
      <c r="CW40" s="366"/>
      <c r="CX40" s="366"/>
      <c r="CY40" s="366"/>
      <c r="CZ40" s="366"/>
      <c r="DA40" s="366"/>
      <c r="DB40" s="366"/>
      <c r="DC40" s="366"/>
      <c r="DD40" s="366"/>
      <c r="DE40" s="366"/>
      <c r="DF40" s="366"/>
      <c r="DG40" s="366"/>
      <c r="DH40" s="366"/>
      <c r="DI40" s="366"/>
      <c r="DJ40" s="366"/>
      <c r="DK40" s="366"/>
      <c r="DL40" s="366"/>
      <c r="DM40" s="366"/>
      <c r="DN40" s="366"/>
      <c r="DO40" s="366"/>
      <c r="DP40" s="366"/>
      <c r="DQ40" s="366"/>
      <c r="DR40" s="366"/>
      <c r="DS40" s="366"/>
      <c r="DT40" s="366"/>
      <c r="DU40" s="366"/>
      <c r="DV40" s="366"/>
      <c r="DW40" s="366"/>
      <c r="DX40" s="366"/>
      <c r="DY40" s="366"/>
      <c r="DZ40" s="366"/>
      <c r="EA40" s="366"/>
      <c r="EB40" s="366"/>
      <c r="EC40" s="366"/>
      <c r="ED40" s="366"/>
      <c r="EE40" s="366"/>
      <c r="EF40" s="366"/>
      <c r="EG40" s="366"/>
      <c r="EH40" s="366"/>
      <c r="EI40" s="366"/>
      <c r="EJ40" s="366"/>
      <c r="EK40" s="366"/>
      <c r="EL40" s="366"/>
      <c r="EM40" s="366"/>
      <c r="EN40" s="366"/>
      <c r="EO40" s="366"/>
      <c r="EP40" s="365"/>
      <c r="EQ40" s="195"/>
    </row>
    <row r="41" spans="1:147" ht="16.2" thickBot="1" x14ac:dyDescent="0.35">
      <c r="A41" s="157" t="s">
        <v>131</v>
      </c>
      <c r="B41" s="157">
        <f>AA43-Q45</f>
        <v>0.21199999999998909</v>
      </c>
      <c r="C41" s="157" t="str">
        <f>IF(B41&lt;=0,"Gioco min.: ","Interf. max: ")</f>
        <v xml:space="preserve">Interf. max: </v>
      </c>
      <c r="F41" s="157">
        <f>IF(B41&lt;0,B41*-1,B41)</f>
        <v>0.21199999999998909</v>
      </c>
      <c r="I41" s="228" t="str">
        <f>griglia_combinazioni!H67</f>
        <v>F</v>
      </c>
      <c r="M41" s="178"/>
      <c r="N41" s="306" t="s">
        <v>297</v>
      </c>
      <c r="O41" s="307"/>
      <c r="P41" s="253"/>
      <c r="Q41" s="398">
        <f>U12</f>
        <v>250</v>
      </c>
      <c r="R41" s="307"/>
      <c r="S41" s="254" t="str">
        <f>CONCATENATE(" ",Q12,R12)</f>
        <v xml:space="preserve"> S8</v>
      </c>
      <c r="U41" s="394" t="str">
        <f>IF(AND(U12&lt;&gt;"",Q12&lt;&gt;"",R12&lt;&gt;"",Z12&lt;&gt;"",AA12&lt;&gt;""),(IF(OR(Q14&lt;&gt;"",Z14&lt;&gt;""),"",(IF(I41="F","INTERFERENZA",IF(I41="I","INCERTO",IF(I41="L","GIOCO","")))))),"")</f>
        <v>INTERFERENZA</v>
      </c>
      <c r="V41" s="395"/>
      <c r="W41" s="396"/>
      <c r="Y41" s="308" t="s">
        <v>297</v>
      </c>
      <c r="Z41" s="309"/>
      <c r="AA41" s="296">
        <f>U12</f>
        <v>250</v>
      </c>
      <c r="AB41" s="297"/>
      <c r="AC41" s="297"/>
      <c r="AD41" s="256" t="str">
        <f>CONCATENATE(" ",Z12,AA12)</f>
        <v xml:space="preserve"> h7</v>
      </c>
      <c r="AE41" s="179"/>
      <c r="AH41" s="281" t="s">
        <v>318</v>
      </c>
      <c r="AI41" s="282"/>
      <c r="AJ41" s="282"/>
      <c r="AK41" s="282"/>
      <c r="AL41" s="282"/>
      <c r="AM41" s="282"/>
      <c r="AN41" s="282"/>
      <c r="AO41" s="283"/>
      <c r="CA41" s="229"/>
      <c r="CB41" s="230"/>
      <c r="CC41" s="230"/>
      <c r="CD41" s="230"/>
      <c r="CE41" s="230"/>
      <c r="CF41" s="230"/>
      <c r="CG41" s="230"/>
      <c r="CH41" s="230"/>
      <c r="CI41" s="230"/>
      <c r="CJ41" s="230"/>
      <c r="CK41" s="230"/>
      <c r="CL41" s="230"/>
      <c r="CM41" s="230"/>
      <c r="CN41" s="230"/>
      <c r="CO41" s="230"/>
      <c r="CP41" s="230"/>
      <c r="CQ41" s="230"/>
      <c r="CR41" s="230"/>
      <c r="CS41" s="230"/>
      <c r="CT41" s="230"/>
      <c r="CU41" s="230"/>
      <c r="CV41" s="230"/>
      <c r="CW41" s="230"/>
      <c r="CX41" s="230"/>
      <c r="CY41" s="230"/>
      <c r="CZ41" s="230"/>
      <c r="DA41" s="230"/>
      <c r="DB41" s="230"/>
      <c r="DC41" s="230"/>
      <c r="DD41" s="230"/>
      <c r="DE41" s="230"/>
      <c r="DF41" s="230"/>
      <c r="DG41" s="230"/>
      <c r="DH41" s="230"/>
      <c r="DI41" s="230"/>
      <c r="DJ41" s="230"/>
      <c r="DK41" s="230"/>
      <c r="DL41" s="230"/>
      <c r="DM41" s="230"/>
      <c r="DN41" s="230"/>
      <c r="DO41" s="230"/>
      <c r="DP41" s="230"/>
      <c r="DQ41" s="230"/>
      <c r="DR41" s="230"/>
      <c r="DS41" s="230"/>
      <c r="DT41" s="230"/>
      <c r="DU41" s="230"/>
      <c r="DV41" s="230"/>
      <c r="DW41" s="230"/>
      <c r="DX41" s="230"/>
      <c r="DY41" s="230"/>
      <c r="DZ41" s="230"/>
      <c r="EA41" s="230"/>
      <c r="EB41" s="230"/>
      <c r="EC41" s="230"/>
      <c r="ED41" s="230"/>
      <c r="EE41" s="230"/>
      <c r="EF41" s="230"/>
      <c r="EG41" s="230"/>
      <c r="EH41" s="230"/>
      <c r="EI41" s="230"/>
      <c r="EJ41" s="230"/>
      <c r="EK41" s="230"/>
      <c r="EL41" s="230"/>
      <c r="EM41" s="230"/>
      <c r="EN41" s="230"/>
      <c r="EO41" s="230"/>
      <c r="EP41" s="230"/>
      <c r="EQ41" s="231"/>
    </row>
    <row r="42" spans="1:147" ht="3.75" customHeight="1" thickTop="1" x14ac:dyDescent="0.25">
      <c r="M42" s="178"/>
      <c r="T42" s="232"/>
      <c r="AE42" s="179"/>
    </row>
    <row r="43" spans="1:147" ht="15" customHeight="1" x14ac:dyDescent="0.25">
      <c r="A43" s="157" t="s">
        <v>132</v>
      </c>
      <c r="B43" s="157">
        <f>AA45-Q43</f>
        <v>9.3999999999994088E-2</v>
      </c>
      <c r="C43" s="157" t="str">
        <f>IF(B43&lt;=0,"Gioco max: ","Interf. Min.: ")</f>
        <v xml:space="preserve">Interf. Min.: </v>
      </c>
      <c r="F43" s="157">
        <f>IF(B43&lt;0,B43*-1,B43)</f>
        <v>9.3999999999994088E-2</v>
      </c>
      <c r="M43" s="178"/>
      <c r="N43" s="310" t="s">
        <v>299</v>
      </c>
      <c r="O43" s="390"/>
      <c r="P43" s="390"/>
      <c r="Q43" s="292">
        <f>IF(AND(U12&lt;&gt;"",Q12&lt;&gt;"",R12&lt;&gt;""),MAX(A14,A16),"")</f>
        <v>249.86</v>
      </c>
      <c r="R43" s="292"/>
      <c r="S43" s="255" t="s">
        <v>41</v>
      </c>
      <c r="T43" s="193"/>
      <c r="U43" s="193"/>
      <c r="V43" s="193"/>
      <c r="W43" s="193"/>
      <c r="X43" s="193"/>
      <c r="Y43" s="298" t="s">
        <v>299</v>
      </c>
      <c r="Z43" s="297"/>
      <c r="AA43" s="312">
        <f>IF(AND(U12&lt;&gt;"",Z12&lt;&gt;"",AA12&lt;&gt;""),(IF(dati!AJ74=0,U12,(MAX(A11,A12)))),"")</f>
        <v>250</v>
      </c>
      <c r="AB43" s="297"/>
      <c r="AC43" s="297"/>
      <c r="AD43" s="257" t="s">
        <v>41</v>
      </c>
      <c r="AE43" s="179"/>
    </row>
    <row r="44" spans="1:147" ht="3" customHeight="1" x14ac:dyDescent="0.25">
      <c r="M44" s="178"/>
      <c r="R44" s="233"/>
      <c r="S44" s="233"/>
      <c r="T44" s="232"/>
      <c r="AC44" s="233"/>
      <c r="AD44" s="233"/>
      <c r="AE44" s="179"/>
    </row>
    <row r="45" spans="1:147" ht="15" customHeight="1" x14ac:dyDescent="0.25">
      <c r="M45" s="178"/>
      <c r="N45" s="310" t="s">
        <v>298</v>
      </c>
      <c r="O45" s="311"/>
      <c r="P45" s="311"/>
      <c r="Q45" s="292">
        <f>IF(AND(U12&lt;&gt;"",Q12&lt;&gt;"",R12&lt;&gt;""),MIN(A14,A16),"")</f>
        <v>249.78800000000001</v>
      </c>
      <c r="R45" s="292"/>
      <c r="S45" s="255" t="s">
        <v>41</v>
      </c>
      <c r="T45" s="193"/>
      <c r="U45" s="193"/>
      <c r="V45" s="193"/>
      <c r="W45" s="193"/>
      <c r="X45" s="193"/>
      <c r="Y45" s="298" t="s">
        <v>298</v>
      </c>
      <c r="Z45" s="415"/>
      <c r="AA45" s="312">
        <f>IF(AND(U12&lt;&gt;"",Z12&lt;&gt;"",AA12&lt;&gt;""),(IF(dati!AJ74=0,U12,(MIN(A11,A12)))),"")</f>
        <v>249.95400000000001</v>
      </c>
      <c r="AB45" s="297"/>
      <c r="AC45" s="297"/>
      <c r="AD45" s="257" t="s">
        <v>41</v>
      </c>
      <c r="AE45" s="179"/>
    </row>
    <row r="46" spans="1:147" ht="3.75" customHeight="1" x14ac:dyDescent="0.25">
      <c r="M46" s="178"/>
      <c r="AE46" s="179"/>
    </row>
    <row r="47" spans="1:147" x14ac:dyDescent="0.25">
      <c r="M47" s="178"/>
      <c r="N47" s="316" t="s">
        <v>301</v>
      </c>
      <c r="O47" s="317"/>
      <c r="P47" s="317"/>
      <c r="Q47" s="318">
        <f>IF(AND(U12&lt;&gt;"",Q12&lt;&gt;"",R12&lt;&gt;""),MAX(A57,A58),"")</f>
        <v>-0.13999999999998636</v>
      </c>
      <c r="R47" s="319"/>
      <c r="S47" s="258" t="s">
        <v>41</v>
      </c>
      <c r="T47" s="233"/>
      <c r="U47" s="233"/>
      <c r="V47" s="233"/>
      <c r="W47" s="233"/>
      <c r="X47" s="233"/>
      <c r="Y47" s="313" t="s">
        <v>301</v>
      </c>
      <c r="Z47" s="314"/>
      <c r="AA47" s="314"/>
      <c r="AB47" s="305">
        <f>IF(AND(U12&lt;&gt;"",Z12&lt;&gt;"",AA12&lt;&gt;""),MAX(B57,B58),"")</f>
        <v>0</v>
      </c>
      <c r="AC47" s="315"/>
      <c r="AD47" s="259" t="s">
        <v>41</v>
      </c>
      <c r="AE47" s="179"/>
    </row>
    <row r="48" spans="1:147" ht="3" customHeight="1" x14ac:dyDescent="0.25">
      <c r="M48" s="178"/>
      <c r="AE48" s="179"/>
    </row>
    <row r="49" spans="1:31" x14ac:dyDescent="0.25">
      <c r="M49" s="178"/>
      <c r="N49" s="316" t="s">
        <v>302</v>
      </c>
      <c r="O49" s="317"/>
      <c r="P49" s="317"/>
      <c r="Q49" s="318">
        <f>IF(AND(U12&lt;&gt;"",Q12&lt;&gt;"",R12&lt;&gt;""),MIN(A57,A58),"")</f>
        <v>-0.21199999999998909</v>
      </c>
      <c r="R49" s="319"/>
      <c r="S49" s="258" t="s">
        <v>41</v>
      </c>
      <c r="Y49" s="313" t="s">
        <v>302</v>
      </c>
      <c r="Z49" s="314"/>
      <c r="AA49" s="314"/>
      <c r="AB49" s="305">
        <f>IF(AND(U12&lt;&gt;"",Z12&lt;&gt;"",AA12&lt;&gt;""),MIN(B57,B58),"")</f>
        <v>-4.5999999999992269E-2</v>
      </c>
      <c r="AC49" s="297"/>
      <c r="AD49" s="259" t="s">
        <v>41</v>
      </c>
      <c r="AE49" s="179"/>
    </row>
    <row r="50" spans="1:31" ht="3" customHeight="1" x14ac:dyDescent="0.25">
      <c r="M50" s="178"/>
      <c r="AE50" s="179"/>
    </row>
    <row r="51" spans="1:31" x14ac:dyDescent="0.25">
      <c r="M51" s="178"/>
      <c r="N51" s="419" t="s">
        <v>303</v>
      </c>
      <c r="O51" s="420"/>
      <c r="P51" s="420"/>
      <c r="Q51" s="318">
        <f>IF(AND(U12&lt;&gt;"",Z14="",Q12&lt;&gt;"",R12&lt;&gt;""),IF(C8&lt;0,C16/1000*-1,C16/1000),0)</f>
        <v>7.1999999999999995E-2</v>
      </c>
      <c r="R51" s="318"/>
      <c r="S51" s="258" t="s">
        <v>41</v>
      </c>
      <c r="Y51" s="298" t="s">
        <v>303</v>
      </c>
      <c r="Z51" s="304"/>
      <c r="AA51" s="304"/>
      <c r="AB51" s="305">
        <f>IF(AND(U12&lt;&gt;"",Z14="",Z12&lt;&gt;"",AA12&lt;&gt;""),IF(C12&lt;0,C12/1000*-1,C12/1000),0)</f>
        <v>4.5999999999999999E-2</v>
      </c>
      <c r="AC51" s="305"/>
      <c r="AD51" s="259" t="s">
        <v>41</v>
      </c>
      <c r="AE51" s="179"/>
    </row>
    <row r="52" spans="1:31" ht="5.25" customHeight="1" thickBot="1" x14ac:dyDescent="0.3">
      <c r="M52" s="234"/>
      <c r="N52" s="235"/>
      <c r="O52" s="235"/>
      <c r="P52" s="235"/>
      <c r="Q52" s="235"/>
      <c r="R52" s="235"/>
      <c r="S52" s="235"/>
      <c r="T52" s="235"/>
      <c r="U52" s="235"/>
      <c r="V52" s="235"/>
      <c r="W52" s="235"/>
      <c r="X52" s="235"/>
      <c r="Y52" s="235"/>
      <c r="Z52" s="235"/>
      <c r="AA52" s="235"/>
      <c r="AB52" s="235"/>
      <c r="AC52" s="235"/>
      <c r="AD52" s="235"/>
      <c r="AE52" s="236"/>
    </row>
    <row r="53" spans="1:31" ht="3.75" customHeight="1" x14ac:dyDescent="0.25"/>
    <row r="54" spans="1:31" ht="13.5" customHeight="1" x14ac:dyDescent="0.25">
      <c r="M54" s="237"/>
      <c r="N54" s="302" t="s">
        <v>307</v>
      </c>
      <c r="O54" s="303"/>
      <c r="P54" s="303"/>
      <c r="Q54" s="303"/>
      <c r="R54" s="303"/>
      <c r="S54" s="303"/>
      <c r="T54" s="303"/>
      <c r="U54" s="303"/>
      <c r="V54" s="303"/>
      <c r="W54" s="303"/>
      <c r="X54" s="303"/>
      <c r="Y54" s="303"/>
      <c r="Z54" s="303"/>
      <c r="AA54" s="303"/>
      <c r="AB54" s="303"/>
      <c r="AC54" s="303"/>
      <c r="AD54" s="303"/>
      <c r="AE54" s="238"/>
    </row>
    <row r="55" spans="1:31" ht="6" customHeight="1" x14ac:dyDescent="0.25">
      <c r="N55" s="239"/>
    </row>
    <row r="56" spans="1:31" ht="6" customHeight="1" x14ac:dyDescent="0.25"/>
    <row r="57" spans="1:31" ht="13.5" customHeight="1" x14ac:dyDescent="0.25">
      <c r="A57" s="157">
        <f>Q43-Q41</f>
        <v>-0.13999999999998636</v>
      </c>
      <c r="B57" s="157">
        <f>AA43-AA41</f>
        <v>0</v>
      </c>
      <c r="M57" s="262"/>
      <c r="N57" s="421" t="s">
        <v>304</v>
      </c>
      <c r="O57" s="421"/>
      <c r="P57" s="421"/>
      <c r="Q57" s="421"/>
      <c r="R57" s="421"/>
      <c r="S57" s="421"/>
      <c r="T57" s="421"/>
      <c r="U57" s="421"/>
      <c r="V57" s="421"/>
      <c r="W57" s="421"/>
      <c r="X57" s="421"/>
      <c r="Y57" s="421"/>
      <c r="Z57" s="421"/>
      <c r="AA57" s="421"/>
      <c r="AB57" s="421"/>
      <c r="AC57" s="421"/>
      <c r="AD57" s="421"/>
      <c r="AE57" s="263"/>
    </row>
    <row r="58" spans="1:31" ht="12" customHeight="1" x14ac:dyDescent="0.25">
      <c r="A58" s="157">
        <f>Q45-Q41</f>
        <v>-0.21199999999998909</v>
      </c>
      <c r="B58" s="157">
        <f>AA45-AA41</f>
        <v>-4.5999999999992269E-2</v>
      </c>
      <c r="N58" s="239"/>
    </row>
    <row r="59" spans="1:31" ht="13.5" customHeight="1" x14ac:dyDescent="0.25">
      <c r="M59" s="260"/>
      <c r="N59" s="266" t="s">
        <v>305</v>
      </c>
      <c r="O59" s="416" t="s">
        <v>283</v>
      </c>
      <c r="P59" s="416"/>
      <c r="Q59" s="416"/>
      <c r="R59" s="267" t="s">
        <v>284</v>
      </c>
      <c r="S59" s="417" t="s">
        <v>306</v>
      </c>
      <c r="T59" s="418"/>
      <c r="U59" s="418"/>
      <c r="V59" s="416" t="s">
        <v>285</v>
      </c>
      <c r="W59" s="416"/>
      <c r="X59" s="416"/>
      <c r="Y59" s="416"/>
      <c r="Z59" s="416"/>
      <c r="AA59" s="268"/>
      <c r="AB59" s="268"/>
      <c r="AC59" s="268"/>
      <c r="AD59" s="268"/>
      <c r="AE59" s="261"/>
    </row>
    <row r="60" spans="1:31" ht="13.5" customHeight="1" x14ac:dyDescent="0.25">
      <c r="N60" s="239"/>
    </row>
    <row r="61" spans="1:31" ht="13.5" customHeight="1" x14ac:dyDescent="0.25">
      <c r="M61" s="269" t="s">
        <v>317</v>
      </c>
      <c r="N61" s="270"/>
      <c r="O61" s="270"/>
      <c r="P61" s="270"/>
      <c r="Q61" s="270"/>
      <c r="R61" s="270"/>
      <c r="S61" s="270"/>
      <c r="T61" s="270"/>
      <c r="U61" s="270"/>
      <c r="V61" s="270"/>
      <c r="W61" s="270"/>
      <c r="X61" s="270"/>
      <c r="Y61" s="270"/>
      <c r="Z61" s="270"/>
      <c r="AA61" s="270"/>
      <c r="AB61" s="270"/>
      <c r="AC61" s="270"/>
      <c r="AD61" s="270"/>
      <c r="AE61" s="271"/>
    </row>
    <row r="62" spans="1:31" ht="13.5" customHeight="1" x14ac:dyDescent="0.25">
      <c r="M62" s="272"/>
      <c r="N62" s="273"/>
      <c r="O62" s="273"/>
      <c r="P62" s="273"/>
      <c r="Q62" s="273"/>
      <c r="R62" s="273"/>
      <c r="S62" s="273"/>
      <c r="T62" s="273"/>
      <c r="U62" s="273"/>
      <c r="V62" s="273"/>
      <c r="W62" s="273"/>
      <c r="X62" s="273"/>
      <c r="Y62" s="273"/>
      <c r="Z62" s="273"/>
      <c r="AA62" s="273"/>
      <c r="AB62" s="273"/>
      <c r="AC62" s="273"/>
      <c r="AD62" s="273"/>
      <c r="AE62" s="274"/>
    </row>
    <row r="63" spans="1:31" ht="13.5" customHeight="1" x14ac:dyDescent="0.25">
      <c r="M63" s="272"/>
      <c r="N63" s="273"/>
      <c r="O63" s="273"/>
      <c r="P63" s="273"/>
      <c r="Q63" s="273"/>
      <c r="R63" s="273"/>
      <c r="S63" s="273"/>
      <c r="T63" s="273"/>
      <c r="U63" s="273"/>
      <c r="V63" s="273"/>
      <c r="W63" s="273"/>
      <c r="X63" s="273"/>
      <c r="Y63" s="273"/>
      <c r="Z63" s="273"/>
      <c r="AA63" s="273"/>
      <c r="AB63" s="273"/>
      <c r="AC63" s="273"/>
      <c r="AD63" s="273"/>
      <c r="AE63" s="274"/>
    </row>
    <row r="64" spans="1:31" ht="13.5" customHeight="1" x14ac:dyDescent="0.25">
      <c r="M64" s="275"/>
      <c r="N64" s="276"/>
      <c r="O64" s="276"/>
      <c r="P64" s="276"/>
      <c r="Q64" s="276"/>
      <c r="R64" s="276"/>
      <c r="S64" s="276"/>
      <c r="T64" s="276"/>
      <c r="U64" s="276"/>
      <c r="V64" s="276"/>
      <c r="W64" s="276"/>
      <c r="X64" s="276"/>
      <c r="Y64" s="276"/>
      <c r="Z64" s="276"/>
      <c r="AA64" s="276"/>
      <c r="AB64" s="276"/>
      <c r="AC64" s="276"/>
      <c r="AD64" s="276"/>
      <c r="AE64" s="277"/>
    </row>
    <row r="65" spans="1:31" ht="6" customHeight="1" x14ac:dyDescent="0.25">
      <c r="M65" s="275"/>
      <c r="N65" s="276"/>
      <c r="O65" s="276"/>
      <c r="P65" s="276"/>
      <c r="Q65" s="276"/>
      <c r="R65" s="276"/>
      <c r="S65" s="276"/>
      <c r="T65" s="276"/>
      <c r="U65" s="276"/>
      <c r="V65" s="276"/>
      <c r="W65" s="276"/>
      <c r="X65" s="276"/>
      <c r="Y65" s="276"/>
      <c r="Z65" s="276"/>
      <c r="AA65" s="276"/>
      <c r="AB65" s="276"/>
      <c r="AC65" s="276"/>
      <c r="AD65" s="276"/>
      <c r="AE65" s="277"/>
    </row>
    <row r="66" spans="1:31" x14ac:dyDescent="0.25">
      <c r="A66" s="157" t="s">
        <v>42</v>
      </c>
      <c r="B66" s="240" t="s">
        <v>0</v>
      </c>
      <c r="D66" s="157">
        <v>1</v>
      </c>
      <c r="M66" s="275"/>
      <c r="N66" s="276"/>
      <c r="O66" s="276"/>
      <c r="P66" s="276"/>
      <c r="Q66" s="276"/>
      <c r="R66" s="276"/>
      <c r="S66" s="276"/>
      <c r="T66" s="276"/>
      <c r="U66" s="276"/>
      <c r="V66" s="276"/>
      <c r="W66" s="276"/>
      <c r="X66" s="276"/>
      <c r="Y66" s="276"/>
      <c r="Z66" s="276"/>
      <c r="AA66" s="276"/>
      <c r="AB66" s="276"/>
      <c r="AC66" s="276"/>
      <c r="AD66" s="276"/>
      <c r="AE66" s="277"/>
    </row>
    <row r="67" spans="1:31" x14ac:dyDescent="0.25">
      <c r="A67" s="157" t="s">
        <v>43</v>
      </c>
      <c r="B67" s="240" t="s">
        <v>1</v>
      </c>
      <c r="D67" s="157">
        <v>2</v>
      </c>
      <c r="M67" s="275"/>
      <c r="N67" s="276"/>
      <c r="O67" s="276"/>
      <c r="P67" s="276"/>
      <c r="Q67" s="276"/>
      <c r="R67" s="276"/>
      <c r="S67" s="276"/>
      <c r="T67" s="276"/>
      <c r="U67" s="276"/>
      <c r="V67" s="276"/>
      <c r="W67" s="276"/>
      <c r="X67" s="276"/>
      <c r="Y67" s="276"/>
      <c r="Z67" s="276"/>
      <c r="AA67" s="276"/>
      <c r="AB67" s="276"/>
      <c r="AC67" s="276"/>
      <c r="AD67" s="276"/>
      <c r="AE67" s="277"/>
    </row>
    <row r="68" spans="1:31" x14ac:dyDescent="0.25">
      <c r="A68" s="157" t="s">
        <v>44</v>
      </c>
      <c r="B68" s="240" t="s">
        <v>2</v>
      </c>
      <c r="D68" s="157">
        <v>3</v>
      </c>
      <c r="M68" s="278"/>
      <c r="N68" s="279"/>
      <c r="O68" s="279"/>
      <c r="P68" s="279"/>
      <c r="Q68" s="279"/>
      <c r="R68" s="279"/>
      <c r="S68" s="279"/>
      <c r="T68" s="279"/>
      <c r="U68" s="279"/>
      <c r="V68" s="279"/>
      <c r="W68" s="279"/>
      <c r="X68" s="279"/>
      <c r="Y68" s="279"/>
      <c r="Z68" s="279"/>
      <c r="AA68" s="279"/>
      <c r="AB68" s="279"/>
      <c r="AC68" s="279"/>
      <c r="AD68" s="279"/>
      <c r="AE68" s="280"/>
    </row>
    <row r="69" spans="1:31" x14ac:dyDescent="0.25">
      <c r="A69" s="157" t="s">
        <v>45</v>
      </c>
      <c r="B69" s="240" t="s">
        <v>21</v>
      </c>
      <c r="D69" s="157">
        <v>4</v>
      </c>
    </row>
    <row r="70" spans="1:31" x14ac:dyDescent="0.25">
      <c r="A70" s="157" t="s">
        <v>46</v>
      </c>
      <c r="B70" s="240" t="s">
        <v>3</v>
      </c>
      <c r="D70" s="157">
        <v>5</v>
      </c>
    </row>
    <row r="71" spans="1:31" x14ac:dyDescent="0.25">
      <c r="A71" s="157" t="s">
        <v>47</v>
      </c>
      <c r="B71" s="240" t="s">
        <v>4</v>
      </c>
      <c r="D71" s="157">
        <v>6</v>
      </c>
    </row>
    <row r="72" spans="1:31" x14ac:dyDescent="0.25">
      <c r="A72" s="157" t="s">
        <v>48</v>
      </c>
      <c r="B72" s="240" t="s">
        <v>22</v>
      </c>
      <c r="D72" s="157">
        <v>7</v>
      </c>
    </row>
    <row r="73" spans="1:31" x14ac:dyDescent="0.25">
      <c r="A73" s="157" t="s">
        <v>49</v>
      </c>
      <c r="B73" s="240" t="s">
        <v>5</v>
      </c>
      <c r="D73" s="157">
        <v>8</v>
      </c>
    </row>
    <row r="74" spans="1:31" x14ac:dyDescent="0.25">
      <c r="A74" s="157" t="s">
        <v>50</v>
      </c>
      <c r="B74" s="240" t="s">
        <v>23</v>
      </c>
      <c r="D74" s="157">
        <v>9</v>
      </c>
    </row>
    <row r="75" spans="1:31" x14ac:dyDescent="0.25">
      <c r="A75" s="157" t="s">
        <v>51</v>
      </c>
      <c r="B75" s="240" t="s">
        <v>6</v>
      </c>
      <c r="D75" s="157">
        <v>10</v>
      </c>
    </row>
    <row r="76" spans="1:31" x14ac:dyDescent="0.25">
      <c r="A76" s="157" t="s">
        <v>52</v>
      </c>
      <c r="B76" s="240" t="s">
        <v>7</v>
      </c>
      <c r="D76" s="157">
        <v>11</v>
      </c>
    </row>
    <row r="77" spans="1:31" x14ac:dyDescent="0.25">
      <c r="A77" s="157" t="s">
        <v>53</v>
      </c>
      <c r="B77" s="240" t="s">
        <v>8</v>
      </c>
      <c r="D77" s="157">
        <v>12</v>
      </c>
    </row>
    <row r="78" spans="1:31" x14ac:dyDescent="0.25">
      <c r="A78" s="157" t="s">
        <v>54</v>
      </c>
      <c r="B78" s="240" t="s">
        <v>24</v>
      </c>
      <c r="D78" s="157">
        <v>13</v>
      </c>
    </row>
    <row r="79" spans="1:31" x14ac:dyDescent="0.25">
      <c r="A79" s="157" t="s">
        <v>55</v>
      </c>
      <c r="B79" s="240" t="s">
        <v>9</v>
      </c>
      <c r="D79" s="157">
        <v>14</v>
      </c>
    </row>
    <row r="80" spans="1:31" x14ac:dyDescent="0.25">
      <c r="A80" s="157" t="s">
        <v>56</v>
      </c>
      <c r="B80" s="240" t="s">
        <v>10</v>
      </c>
      <c r="D80" s="157">
        <v>15</v>
      </c>
    </row>
    <row r="81" spans="1:4" x14ac:dyDescent="0.25">
      <c r="A81" s="157" t="s">
        <v>57</v>
      </c>
      <c r="B81" s="240" t="s">
        <v>11</v>
      </c>
      <c r="D81" s="157">
        <v>16</v>
      </c>
    </row>
    <row r="82" spans="1:4" x14ac:dyDescent="0.25">
      <c r="A82" s="157" t="s">
        <v>58</v>
      </c>
      <c r="B82" s="240" t="s">
        <v>13</v>
      </c>
      <c r="D82" s="157">
        <v>17</v>
      </c>
    </row>
    <row r="83" spans="1:4" x14ac:dyDescent="0.25">
      <c r="A83" s="157" t="s">
        <v>59</v>
      </c>
      <c r="B83" s="240" t="s">
        <v>14</v>
      </c>
      <c r="D83" s="157">
        <v>18</v>
      </c>
    </row>
    <row r="84" spans="1:4" x14ac:dyDescent="0.25">
      <c r="A84" s="157" t="s">
        <v>60</v>
      </c>
      <c r="B84" s="240" t="s">
        <v>15</v>
      </c>
    </row>
    <row r="85" spans="1:4" x14ac:dyDescent="0.25">
      <c r="A85" s="157" t="s">
        <v>61</v>
      </c>
      <c r="B85" s="240" t="s">
        <v>16</v>
      </c>
    </row>
    <row r="86" spans="1:4" x14ac:dyDescent="0.25">
      <c r="A86" s="157" t="s">
        <v>62</v>
      </c>
      <c r="B86" s="240" t="s">
        <v>17</v>
      </c>
    </row>
    <row r="87" spans="1:4" x14ac:dyDescent="0.25">
      <c r="A87" s="157" t="s">
        <v>63</v>
      </c>
      <c r="B87" s="240" t="s">
        <v>18</v>
      </c>
    </row>
    <row r="88" spans="1:4" x14ac:dyDescent="0.25">
      <c r="A88" s="157" t="s">
        <v>64</v>
      </c>
      <c r="B88" s="240" t="s">
        <v>19</v>
      </c>
    </row>
    <row r="89" spans="1:4" x14ac:dyDescent="0.25">
      <c r="A89" s="157" t="s">
        <v>65</v>
      </c>
      <c r="B89" s="240" t="s">
        <v>12</v>
      </c>
    </row>
    <row r="90" spans="1:4" x14ac:dyDescent="0.25">
      <c r="A90" s="157" t="s">
        <v>66</v>
      </c>
      <c r="B90" s="240" t="s">
        <v>20</v>
      </c>
    </row>
    <row r="91" spans="1:4" x14ac:dyDescent="0.25">
      <c r="A91" s="157" t="s">
        <v>67</v>
      </c>
      <c r="B91" s="240" t="s">
        <v>25</v>
      </c>
    </row>
    <row r="92" spans="1:4" x14ac:dyDescent="0.25">
      <c r="A92" s="157" t="s">
        <v>68</v>
      </c>
      <c r="B92" s="240" t="s">
        <v>26</v>
      </c>
    </row>
    <row r="93" spans="1:4" x14ac:dyDescent="0.25">
      <c r="A93" s="157" t="s">
        <v>69</v>
      </c>
      <c r="B93" s="240" t="s">
        <v>27</v>
      </c>
    </row>
    <row r="121" spans="8:11" ht="13.8" thickBot="1" x14ac:dyDescent="0.3"/>
    <row r="122" spans="8:11" x14ac:dyDescent="0.25">
      <c r="H122" s="157">
        <f>IF(AA45&gt;Q43,1,0)</f>
        <v>1</v>
      </c>
      <c r="I122" s="241">
        <v>1</v>
      </c>
      <c r="J122" s="242">
        <v>0</v>
      </c>
      <c r="K122" s="242"/>
    </row>
    <row r="123" spans="8:11" x14ac:dyDescent="0.25">
      <c r="I123" s="243">
        <v>0</v>
      </c>
      <c r="J123" s="244">
        <v>0</v>
      </c>
      <c r="K123" s="244"/>
    </row>
    <row r="124" spans="8:11" ht="13.8" thickBot="1" x14ac:dyDescent="0.3">
      <c r="I124" s="245">
        <v>0</v>
      </c>
      <c r="J124" s="246">
        <v>1</v>
      </c>
      <c r="K124" s="246"/>
    </row>
    <row r="125" spans="8:11" x14ac:dyDescent="0.25">
      <c r="H125" s="157">
        <f>IF(AA45=Q43,2,0)</f>
        <v>0</v>
      </c>
      <c r="I125" s="241">
        <v>1</v>
      </c>
      <c r="J125" s="242">
        <v>0</v>
      </c>
      <c r="K125" s="242"/>
    </row>
    <row r="126" spans="8:11" x14ac:dyDescent="0.25">
      <c r="I126" s="243">
        <v>0</v>
      </c>
      <c r="J126" s="244">
        <v>1</v>
      </c>
      <c r="K126" s="244"/>
    </row>
    <row r="127" spans="8:11" ht="13.8" thickBot="1" x14ac:dyDescent="0.3">
      <c r="I127" s="245">
        <v>0</v>
      </c>
      <c r="J127" s="246">
        <v>0</v>
      </c>
      <c r="K127" s="246"/>
    </row>
    <row r="128" spans="8:11" x14ac:dyDescent="0.25">
      <c r="H128" s="157">
        <f>IF(AND(AA43&gt;Q43,AA45&lt;Q43,AA45&gt;Q45),3,0)</f>
        <v>0</v>
      </c>
      <c r="I128" s="241">
        <v>1</v>
      </c>
      <c r="J128" s="242">
        <v>0</v>
      </c>
      <c r="K128" s="242"/>
    </row>
    <row r="129" spans="8:11" x14ac:dyDescent="0.25">
      <c r="I129" s="243">
        <v>1</v>
      </c>
      <c r="J129" s="244">
        <v>1</v>
      </c>
      <c r="K129" s="244"/>
    </row>
    <row r="130" spans="8:11" ht="13.8" thickBot="1" x14ac:dyDescent="0.3">
      <c r="I130" s="245">
        <v>0</v>
      </c>
      <c r="J130" s="246">
        <v>1</v>
      </c>
      <c r="K130" s="246"/>
    </row>
    <row r="131" spans="8:11" x14ac:dyDescent="0.25">
      <c r="H131" s="157">
        <f>IF(AND(AA43=Q43,AA45&gt;Q45),4,0)</f>
        <v>0</v>
      </c>
      <c r="I131" s="241">
        <v>1</v>
      </c>
      <c r="J131" s="242">
        <v>0</v>
      </c>
      <c r="K131" s="242"/>
    </row>
    <row r="132" spans="8:11" x14ac:dyDescent="0.25">
      <c r="I132" s="243">
        <v>0</v>
      </c>
      <c r="J132" s="244">
        <v>1</v>
      </c>
      <c r="K132" s="244"/>
    </row>
    <row r="133" spans="8:11" ht="13.8" thickBot="1" x14ac:dyDescent="0.3">
      <c r="I133" s="245">
        <v>0</v>
      </c>
      <c r="J133" s="246">
        <v>1</v>
      </c>
      <c r="K133" s="246"/>
    </row>
    <row r="134" spans="8:11" x14ac:dyDescent="0.25">
      <c r="H134" s="157">
        <f>IF(AND(AA43&lt;Q43,AA45&gt;Q45),5,0)</f>
        <v>0</v>
      </c>
      <c r="I134" s="241">
        <v>0</v>
      </c>
      <c r="J134" s="242">
        <v>1</v>
      </c>
      <c r="K134" s="242"/>
    </row>
    <row r="135" spans="8:11" x14ac:dyDescent="0.25">
      <c r="I135" s="243">
        <v>1</v>
      </c>
      <c r="J135" s="244">
        <v>1</v>
      </c>
      <c r="K135" s="244"/>
    </row>
    <row r="136" spans="8:11" ht="13.8" thickBot="1" x14ac:dyDescent="0.3">
      <c r="I136" s="247">
        <v>0</v>
      </c>
      <c r="J136" s="190">
        <v>1</v>
      </c>
      <c r="K136" s="190"/>
    </row>
    <row r="137" spans="8:11" x14ac:dyDescent="0.25">
      <c r="H137" s="157">
        <f>IF(AND(AA45=Q45,AA43&gt;Q43),6,0)</f>
        <v>0</v>
      </c>
      <c r="I137" s="241">
        <v>1</v>
      </c>
      <c r="J137" s="242">
        <v>0</v>
      </c>
      <c r="K137" s="242"/>
    </row>
    <row r="138" spans="8:11" x14ac:dyDescent="0.25">
      <c r="I138" s="243">
        <v>1</v>
      </c>
      <c r="J138" s="244">
        <v>1</v>
      </c>
      <c r="K138" s="244"/>
    </row>
    <row r="139" spans="8:11" ht="13.8" thickBot="1" x14ac:dyDescent="0.3">
      <c r="I139" s="245">
        <v>0</v>
      </c>
      <c r="J139" s="246">
        <v>0</v>
      </c>
      <c r="K139" s="246"/>
    </row>
    <row r="140" spans="8:11" x14ac:dyDescent="0.25">
      <c r="H140" s="157">
        <f>IF(AND(AA43=Q43,AA45=Q45),7,0)</f>
        <v>0</v>
      </c>
      <c r="I140" s="241">
        <v>1</v>
      </c>
      <c r="J140" s="242">
        <v>1</v>
      </c>
      <c r="K140" s="242"/>
    </row>
    <row r="141" spans="8:11" x14ac:dyDescent="0.25">
      <c r="I141" s="243">
        <v>1</v>
      </c>
      <c r="J141" s="244">
        <v>1</v>
      </c>
      <c r="K141" s="244"/>
    </row>
    <row r="142" spans="8:11" ht="13.8" thickBot="1" x14ac:dyDescent="0.3">
      <c r="I142" s="245">
        <v>0</v>
      </c>
      <c r="J142" s="246">
        <v>0</v>
      </c>
      <c r="K142" s="246"/>
    </row>
    <row r="143" spans="8:11" x14ac:dyDescent="0.25">
      <c r="H143" s="157">
        <f>IF(AND(AA43&lt;Q43,AA45=Q45),8,0)</f>
        <v>0</v>
      </c>
      <c r="I143" s="241">
        <v>0</v>
      </c>
      <c r="J143" s="242">
        <v>1</v>
      </c>
      <c r="K143" s="242"/>
    </row>
    <row r="144" spans="8:11" x14ac:dyDescent="0.25">
      <c r="I144" s="243">
        <v>1</v>
      </c>
      <c r="J144" s="244">
        <v>1</v>
      </c>
      <c r="K144" s="244"/>
    </row>
    <row r="145" spans="8:11" ht="13.8" thickBot="1" x14ac:dyDescent="0.3">
      <c r="I145" s="245">
        <v>0</v>
      </c>
      <c r="J145" s="246">
        <v>0</v>
      </c>
      <c r="K145" s="246"/>
    </row>
    <row r="146" spans="8:11" x14ac:dyDescent="0.25">
      <c r="H146" s="157">
        <f>IF(AND(AA43=Q43,AA45&lt;Q45),9,0)</f>
        <v>0</v>
      </c>
      <c r="I146" s="241">
        <v>1</v>
      </c>
      <c r="J146" s="242">
        <v>1</v>
      </c>
      <c r="K146" s="242"/>
    </row>
    <row r="147" spans="8:11" x14ac:dyDescent="0.25">
      <c r="I147" s="243">
        <v>1</v>
      </c>
      <c r="J147" s="244">
        <v>0</v>
      </c>
      <c r="K147" s="244"/>
    </row>
    <row r="148" spans="8:11" ht="13.8" thickBot="1" x14ac:dyDescent="0.3">
      <c r="I148" s="245">
        <v>0</v>
      </c>
      <c r="J148" s="246">
        <v>0</v>
      </c>
      <c r="K148" s="246"/>
    </row>
    <row r="149" spans="8:11" x14ac:dyDescent="0.25">
      <c r="H149" s="157">
        <f>IF(AND(AA43&lt;Q43,AA45&lt;Q45,AA43&gt;Q45),10,0)</f>
        <v>0</v>
      </c>
      <c r="I149" s="241">
        <v>0</v>
      </c>
      <c r="J149" s="242">
        <v>1</v>
      </c>
      <c r="K149" s="242"/>
    </row>
    <row r="150" spans="8:11" x14ac:dyDescent="0.25">
      <c r="I150" s="243">
        <v>1</v>
      </c>
      <c r="J150" s="244">
        <v>1</v>
      </c>
      <c r="K150" s="244"/>
    </row>
    <row r="151" spans="8:11" ht="13.8" thickBot="1" x14ac:dyDescent="0.3">
      <c r="I151" s="245">
        <v>1</v>
      </c>
      <c r="J151" s="246">
        <v>0</v>
      </c>
      <c r="K151" s="246"/>
    </row>
    <row r="152" spans="8:11" x14ac:dyDescent="0.25">
      <c r="H152" s="157">
        <f>IF(AA43=Q45,11,0)</f>
        <v>0</v>
      </c>
      <c r="I152" s="241">
        <v>0</v>
      </c>
      <c r="J152" s="242">
        <v>1</v>
      </c>
      <c r="K152" s="242"/>
    </row>
    <row r="153" spans="8:11" x14ac:dyDescent="0.25">
      <c r="I153" s="243">
        <v>1</v>
      </c>
      <c r="J153" s="244">
        <v>0</v>
      </c>
      <c r="K153" s="244"/>
    </row>
    <row r="154" spans="8:11" ht="13.8" thickBot="1" x14ac:dyDescent="0.3">
      <c r="I154" s="245">
        <v>0</v>
      </c>
      <c r="J154" s="246">
        <v>0</v>
      </c>
      <c r="K154" s="246"/>
    </row>
    <row r="155" spans="8:11" x14ac:dyDescent="0.25">
      <c r="H155" s="157">
        <f>IF(AA43&lt;Q45,12,0)</f>
        <v>0</v>
      </c>
      <c r="I155" s="241">
        <v>0</v>
      </c>
      <c r="J155" s="242">
        <v>1</v>
      </c>
      <c r="K155" s="242"/>
    </row>
    <row r="156" spans="8:11" x14ac:dyDescent="0.25">
      <c r="I156" s="243">
        <v>0</v>
      </c>
      <c r="J156" s="244">
        <v>0</v>
      </c>
      <c r="K156" s="244"/>
    </row>
    <row r="157" spans="8:11" ht="13.8" thickBot="1" x14ac:dyDescent="0.3">
      <c r="I157" s="245">
        <v>1</v>
      </c>
      <c r="J157" s="246">
        <v>0</v>
      </c>
      <c r="K157" s="246"/>
    </row>
    <row r="158" spans="8:11" x14ac:dyDescent="0.25">
      <c r="H158" s="157">
        <f>IF(AND(AA43&gt;Q43,AA45&lt;Q45),13,0)</f>
        <v>0</v>
      </c>
      <c r="I158" s="241">
        <v>0</v>
      </c>
      <c r="J158" s="242">
        <v>0</v>
      </c>
      <c r="K158" s="242"/>
    </row>
    <row r="159" spans="8:11" x14ac:dyDescent="0.25">
      <c r="I159" s="243">
        <v>1</v>
      </c>
      <c r="J159" s="244">
        <v>1</v>
      </c>
      <c r="K159" s="244"/>
    </row>
    <row r="160" spans="8:11" ht="13.8" thickBot="1" x14ac:dyDescent="0.3">
      <c r="I160" s="245">
        <v>1</v>
      </c>
      <c r="J160" s="246">
        <v>0</v>
      </c>
      <c r="K160" s="246"/>
    </row>
    <row r="161" spans="8:8" x14ac:dyDescent="0.25">
      <c r="H161" s="157">
        <f>SUM(H122:H160)</f>
        <v>1</v>
      </c>
    </row>
  </sheetData>
  <sheetProtection password="E5A4" sheet="1" objects="1" scenarios="1"/>
  <mergeCells count="207">
    <mergeCell ref="Y45:Z45"/>
    <mergeCell ref="O59:Q59"/>
    <mergeCell ref="S59:U59"/>
    <mergeCell ref="V59:Z59"/>
    <mergeCell ref="Y49:AA49"/>
    <mergeCell ref="N51:P51"/>
    <mergeCell ref="Q51:R51"/>
    <mergeCell ref="N57:AD57"/>
    <mergeCell ref="N49:P49"/>
    <mergeCell ref="Q49:R49"/>
    <mergeCell ref="AB49:AC49"/>
    <mergeCell ref="B19:D19"/>
    <mergeCell ref="N43:P43"/>
    <mergeCell ref="U39:W39"/>
    <mergeCell ref="U41:W41"/>
    <mergeCell ref="U19:W19"/>
    <mergeCell ref="Q41:R41"/>
    <mergeCell ref="R29:R32"/>
    <mergeCell ref="Q9:R9"/>
    <mergeCell ref="Z10:AA10"/>
    <mergeCell ref="Z11:AA11"/>
    <mergeCell ref="U10:W10"/>
    <mergeCell ref="U11:W11"/>
    <mergeCell ref="Z29:Z32"/>
    <mergeCell ref="Q10:R10"/>
    <mergeCell ref="Z14:AA14"/>
    <mergeCell ref="Q14:R14"/>
    <mergeCell ref="Q11:R11"/>
    <mergeCell ref="DM30:DP30"/>
    <mergeCell ref="DQ30:DT30"/>
    <mergeCell ref="DC32:DF32"/>
    <mergeCell ref="DG32:DJ32"/>
    <mergeCell ref="W33:W37"/>
    <mergeCell ref="U33:U37"/>
    <mergeCell ref="CI32:CL32"/>
    <mergeCell ref="CM32:CP32"/>
    <mergeCell ref="CB33:CQ34"/>
    <mergeCell ref="CR35:CU35"/>
    <mergeCell ref="CQ32:CT32"/>
    <mergeCell ref="DJ37:DM37"/>
    <mergeCell ref="CY32:DB32"/>
    <mergeCell ref="CV35:CY35"/>
    <mergeCell ref="CZ35:DC35"/>
    <mergeCell ref="DN31:DQ31"/>
    <mergeCell ref="DR31:DU31"/>
    <mergeCell ref="CR33:CZ34"/>
    <mergeCell ref="DA33:DP34"/>
    <mergeCell ref="DQ33:DY34"/>
    <mergeCell ref="DK32:DN32"/>
    <mergeCell ref="DO32:DR32"/>
    <mergeCell ref="DS32:DV32"/>
    <mergeCell ref="CA2:EO2"/>
    <mergeCell ref="CB10:CW10"/>
    <mergeCell ref="CX10:DS10"/>
    <mergeCell ref="DT10:EO10"/>
    <mergeCell ref="CI26:EI26"/>
    <mergeCell ref="CW30:CZ30"/>
    <mergeCell ref="DA30:DD30"/>
    <mergeCell ref="DE30:DH30"/>
    <mergeCell ref="CZ29:DC29"/>
    <mergeCell ref="DD29:DG29"/>
    <mergeCell ref="DH29:DK29"/>
    <mergeCell ref="CJ29:CM29"/>
    <mergeCell ref="CK30:CN30"/>
    <mergeCell ref="CF29:CI29"/>
    <mergeCell ref="CG30:CJ30"/>
    <mergeCell ref="CN29:CQ29"/>
    <mergeCell ref="CO30:CR30"/>
    <mergeCell ref="CR29:CU29"/>
    <mergeCell ref="DU30:DX30"/>
    <mergeCell ref="DY30:EB30"/>
    <mergeCell ref="DX29:EA29"/>
    <mergeCell ref="EB29:EE29"/>
    <mergeCell ref="EF29:EI29"/>
    <mergeCell ref="EJ29:EM29"/>
    <mergeCell ref="CB20:EP21"/>
    <mergeCell ref="CF22:EL25"/>
    <mergeCell ref="DP29:DS29"/>
    <mergeCell ref="DW32:DZ32"/>
    <mergeCell ref="EA32:ED32"/>
    <mergeCell ref="CX31:DA31"/>
    <mergeCell ref="EI32:EL32"/>
    <mergeCell ref="DB31:DE31"/>
    <mergeCell ref="DF31:DI31"/>
    <mergeCell ref="DJ31:DM31"/>
    <mergeCell ref="DL29:DO29"/>
    <mergeCell ref="CV29:CY29"/>
    <mergeCell ref="DI30:DL30"/>
    <mergeCell ref="CS30:CV30"/>
    <mergeCell ref="CT31:CW31"/>
    <mergeCell ref="CL31:CO31"/>
    <mergeCell ref="CH31:CK31"/>
    <mergeCell ref="CP31:CS31"/>
    <mergeCell ref="DT29:DW29"/>
    <mergeCell ref="EC30:EF30"/>
    <mergeCell ref="EG30:EJ30"/>
    <mergeCell ref="EK30:EN30"/>
    <mergeCell ref="DZ31:EC31"/>
    <mergeCell ref="ED31:EG31"/>
    <mergeCell ref="EH31:EK31"/>
    <mergeCell ref="EL31:EO31"/>
    <mergeCell ref="DZ33:EO34"/>
    <mergeCell ref="EE32:EH32"/>
    <mergeCell ref="CU32:CX32"/>
    <mergeCell ref="DK38:DN38"/>
    <mergeCell ref="DN37:DQ37"/>
    <mergeCell ref="DR37:DU37"/>
    <mergeCell ref="DO38:DR38"/>
    <mergeCell ref="DD35:DG35"/>
    <mergeCell ref="DS38:DV38"/>
    <mergeCell ref="EB35:EE35"/>
    <mergeCell ref="EF35:EI35"/>
    <mergeCell ref="DV31:DY31"/>
    <mergeCell ref="DV37:DY37"/>
    <mergeCell ref="DZ37:EC37"/>
    <mergeCell ref="ED37:EG37"/>
    <mergeCell ref="EH37:EK37"/>
    <mergeCell ref="DX35:EA35"/>
    <mergeCell ref="EK36:EN36"/>
    <mergeCell ref="EM32:EP32"/>
    <mergeCell ref="EL37:EO37"/>
    <mergeCell ref="DU36:DX36"/>
    <mergeCell ref="DY36:EB36"/>
    <mergeCell ref="EC36:EF36"/>
    <mergeCell ref="DW38:DZ38"/>
    <mergeCell ref="EA38:ED38"/>
    <mergeCell ref="EE38:EH38"/>
    <mergeCell ref="EJ35:EM35"/>
    <mergeCell ref="CC36:CF36"/>
    <mergeCell ref="CG36:CJ36"/>
    <mergeCell ref="CK36:CN36"/>
    <mergeCell ref="CO36:CR36"/>
    <mergeCell ref="CS36:CV36"/>
    <mergeCell ref="CW36:CZ36"/>
    <mergeCell ref="DA36:DD36"/>
    <mergeCell ref="EG36:EJ36"/>
    <mergeCell ref="DH35:DK35"/>
    <mergeCell ref="CB35:CE35"/>
    <mergeCell ref="CF35:CI35"/>
    <mergeCell ref="CJ35:CM35"/>
    <mergeCell ref="CN35:CQ35"/>
    <mergeCell ref="DL35:DO35"/>
    <mergeCell ref="DP35:DS35"/>
    <mergeCell ref="DT35:DW35"/>
    <mergeCell ref="CB27:EP28"/>
    <mergeCell ref="CB39:EP40"/>
    <mergeCell ref="CU38:CX38"/>
    <mergeCell ref="CY38:DB38"/>
    <mergeCell ref="DC38:DF38"/>
    <mergeCell ref="DG38:DJ38"/>
    <mergeCell ref="CE38:CH38"/>
    <mergeCell ref="CI38:CL38"/>
    <mergeCell ref="CM38:CP38"/>
    <mergeCell ref="CQ38:CT38"/>
    <mergeCell ref="CT37:CW37"/>
    <mergeCell ref="CX37:DA37"/>
    <mergeCell ref="EI38:EL38"/>
    <mergeCell ref="EM38:EP38"/>
    <mergeCell ref="DM36:DP36"/>
    <mergeCell ref="DQ36:DT36"/>
    <mergeCell ref="CD37:CG37"/>
    <mergeCell ref="CH37:CK37"/>
    <mergeCell ref="CL37:CO37"/>
    <mergeCell ref="CP37:CS37"/>
    <mergeCell ref="DB37:DE37"/>
    <mergeCell ref="DF37:DI37"/>
    <mergeCell ref="DE36:DH36"/>
    <mergeCell ref="DI36:DL36"/>
    <mergeCell ref="M5:AE5"/>
    <mergeCell ref="AI31:AO33"/>
    <mergeCell ref="AN35:AO37"/>
    <mergeCell ref="AH26:AO27"/>
    <mergeCell ref="U28:U32"/>
    <mergeCell ref="W28:W32"/>
    <mergeCell ref="U12:W12"/>
    <mergeCell ref="M17:AE17"/>
    <mergeCell ref="AH20:AO23"/>
    <mergeCell ref="M8:AE8"/>
    <mergeCell ref="AH24:AO25"/>
    <mergeCell ref="AH11:AO15"/>
    <mergeCell ref="AH10:AO10"/>
    <mergeCell ref="AH19:AO19"/>
    <mergeCell ref="AH16:AO17"/>
    <mergeCell ref="M61:AE68"/>
    <mergeCell ref="AH41:AO41"/>
    <mergeCell ref="AH38:AO38"/>
    <mergeCell ref="AH39:AI39"/>
    <mergeCell ref="AK39:AL39"/>
    <mergeCell ref="AN39:AO39"/>
    <mergeCell ref="Q45:R45"/>
    <mergeCell ref="Y39:AD39"/>
    <mergeCell ref="AA41:AC41"/>
    <mergeCell ref="Y43:Z43"/>
    <mergeCell ref="N39:S39"/>
    <mergeCell ref="N54:AD54"/>
    <mergeCell ref="Y51:AA51"/>
    <mergeCell ref="AB51:AC51"/>
    <mergeCell ref="N41:O41"/>
    <mergeCell ref="Y41:Z41"/>
    <mergeCell ref="N45:P45"/>
    <mergeCell ref="AA43:AC43"/>
    <mergeCell ref="AA45:AC45"/>
    <mergeCell ref="Q43:R43"/>
    <mergeCell ref="Y47:AA47"/>
    <mergeCell ref="AB47:AC47"/>
    <mergeCell ref="N47:P47"/>
    <mergeCell ref="Q47:R47"/>
  </mergeCells>
  <phoneticPr fontId="1" type="noConversion"/>
  <conditionalFormatting sqref="U21:U27">
    <cfRule type="expression" dxfId="30" priority="1" stopIfTrue="1">
      <formula>$C31="R"</formula>
    </cfRule>
    <cfRule type="expression" dxfId="29" priority="2" stopIfTrue="1">
      <formula>$C31="V"</formula>
    </cfRule>
    <cfRule type="expression" dxfId="28" priority="3" stopIfTrue="1">
      <formula>$C31="S"</formula>
    </cfRule>
  </conditionalFormatting>
  <conditionalFormatting sqref="W21:W27">
    <cfRule type="expression" dxfId="27" priority="4" stopIfTrue="1">
      <formula>$D31="R"</formula>
    </cfRule>
    <cfRule type="expression" dxfId="26" priority="5" stopIfTrue="1">
      <formula>$D31="V"</formula>
    </cfRule>
    <cfRule type="expression" dxfId="25" priority="6" stopIfTrue="1">
      <formula>$D31="S"</formula>
    </cfRule>
  </conditionalFormatting>
  <conditionalFormatting sqref="N21:S23 N26:S28">
    <cfRule type="expression" dxfId="24" priority="7" stopIfTrue="1">
      <formula>$D21&lt;&gt;""</formula>
    </cfRule>
  </conditionalFormatting>
  <conditionalFormatting sqref="Y21:AD24">
    <cfRule type="expression" dxfId="23" priority="8" stopIfTrue="1">
      <formula>$C21&lt;&gt;""</formula>
    </cfRule>
  </conditionalFormatting>
  <conditionalFormatting sqref="Q14:R14">
    <cfRule type="expression" dxfId="22" priority="9" stopIfTrue="1">
      <formula>$Q$14&lt;&gt;""</formula>
    </cfRule>
  </conditionalFormatting>
  <conditionalFormatting sqref="Z14:AA14">
    <cfRule type="expression" dxfId="21" priority="10" stopIfTrue="1">
      <formula>$Z$14&lt;&gt;""</formula>
    </cfRule>
  </conditionalFormatting>
  <conditionalFormatting sqref="A22:A23">
    <cfRule type="expression" dxfId="20" priority="11" stopIfTrue="1">
      <formula>$A$22=TRUE</formula>
    </cfRule>
  </conditionalFormatting>
  <conditionalFormatting sqref="A24">
    <cfRule type="expression" dxfId="19" priority="12" stopIfTrue="1">
      <formula>$A$23=TRUE</formula>
    </cfRule>
  </conditionalFormatting>
  <conditionalFormatting sqref="A25">
    <cfRule type="expression" dxfId="18" priority="13" stopIfTrue="1">
      <formula>$A$23=TRUE</formula>
    </cfRule>
    <cfRule type="expression" dxfId="17" priority="14" stopIfTrue="1">
      <formula>$A$24=TRUE</formula>
    </cfRule>
  </conditionalFormatting>
  <conditionalFormatting sqref="A26">
    <cfRule type="expression" dxfId="16" priority="15" stopIfTrue="1">
      <formula>$A$24=TRUE</formula>
    </cfRule>
    <cfRule type="expression" dxfId="15" priority="16" stopIfTrue="1">
      <formula>$A$25</formula>
    </cfRule>
  </conditionalFormatting>
  <conditionalFormatting sqref="A27">
    <cfRule type="expression" dxfId="14" priority="17" stopIfTrue="1">
      <formula>$A$25=TRUE</formula>
    </cfRule>
  </conditionalFormatting>
  <conditionalFormatting sqref="N24:S24">
    <cfRule type="expression" dxfId="13" priority="18" stopIfTrue="1">
      <formula>$D$24&lt;&gt;""</formula>
    </cfRule>
  </conditionalFormatting>
  <conditionalFormatting sqref="N25:S25">
    <cfRule type="expression" dxfId="12" priority="19" stopIfTrue="1">
      <formula>$D$25&lt;&gt;""</formula>
    </cfRule>
  </conditionalFormatting>
  <conditionalFormatting sqref="Y25:AD25">
    <cfRule type="expression" dxfId="11" priority="20" stopIfTrue="1">
      <formula>$C$25&lt;&gt;""</formula>
    </cfRule>
  </conditionalFormatting>
  <conditionalFormatting sqref="Y26:AD26">
    <cfRule type="expression" dxfId="10" priority="21" stopIfTrue="1">
      <formula>$C$26&lt;&gt;""</formula>
    </cfRule>
  </conditionalFormatting>
  <conditionalFormatting sqref="Y27:AD27">
    <cfRule type="expression" dxfId="9" priority="22" stopIfTrue="1">
      <formula>$C$27&lt;&gt;""</formula>
    </cfRule>
  </conditionalFormatting>
  <conditionalFormatting sqref="Y28:AD28">
    <cfRule type="expression" dxfId="8" priority="23" stopIfTrue="1">
      <formula>$C$28&lt;&gt;""</formula>
    </cfRule>
  </conditionalFormatting>
  <dataValidations count="4">
    <dataValidation type="list" allowBlank="1" showInputMessage="1" showErrorMessage="1" sqref="AA12 R12 T42 T44" xr:uid="{00000000-0002-0000-0000-000000000000}">
      <formula1>$D$66:$D$83</formula1>
    </dataValidation>
    <dataValidation type="list" allowBlank="1" showInputMessage="1" showErrorMessage="1" sqref="Z12" xr:uid="{00000000-0002-0000-0000-000001000000}">
      <formula1>$B$66:$B$93</formula1>
    </dataValidation>
    <dataValidation type="list" allowBlank="1" showInputMessage="1" showErrorMessage="1" sqref="Q12" xr:uid="{00000000-0002-0000-0000-000002000000}">
      <formula1>$A$66:$A$93</formula1>
    </dataValidation>
    <dataValidation type="decimal" showInputMessage="1" showErrorMessage="1" errorTitle="ERROR!" error="The input diameter exceed the maximum allowed._x000a_Allowed range for shaft dia.: 1÷3150mm" promptTitle="Immetti la dimensione" prompt="Inclusa tra 1 e 3150mm" sqref="U12:W12" xr:uid="{00000000-0002-0000-0000-000003000000}">
      <formula1>1</formula1>
      <formula2>3150</formula2>
    </dataValidation>
  </dataValidations>
  <hyperlinks>
    <hyperlink ref="N57:AD57" r:id="rId1" tooltip="Apri la pagina tolleranze accoppiamenti..." display="Link alla sezione che tratta le tollerance per gli accoppiamenti…" xr:uid="{00000000-0004-0000-0000-000000000000}"/>
    <hyperlink ref="CB10:DM10" location="pannello!F1" display="Hide standard fits" xr:uid="{00000000-0004-0000-0000-000001000000}"/>
    <hyperlink ref="CX10:DS10" location="pannello!AF1" tooltip="Hide standard fits..." display="Hide standard fits" xr:uid="{00000000-0004-0000-0000-000002000000}"/>
    <hyperlink ref="DT10:EO10" location="pannello!AF1" tooltip="Hide standard fits..." display="Hide standard fits" xr:uid="{00000000-0004-0000-0000-000003000000}"/>
    <hyperlink ref="CB10:CW10" location="pannello!AF1" tooltip="Hide standard fits..." display="Hide standard fits" xr:uid="{00000000-0004-0000-0000-000004000000}"/>
    <hyperlink ref="O59:Q59" r:id="rId2" tooltip="For any comment and suggestion..." display="Mauro Attili" xr:uid="{00000000-0004-0000-0000-000005000000}"/>
    <hyperlink ref="V59:Z59" r:id="rId3" tooltip="Sito web Tecnocentro..." display="Tecnocentro eng srl" xr:uid="{00000000-0004-0000-0000-000006000000}"/>
  </hyperlinks>
  <printOptions horizontalCentered="1"/>
  <pageMargins left="0.74" right="0.5" top="1.26" bottom="0.98425196850393704" header="0.51181102362204722" footer="0.51181102362204722"/>
  <pageSetup paperSize="9" orientation="portrait" r:id="rId4"/>
  <headerFooter alignWithMargins="0">
    <oddHeader>&amp;C&amp;G</oddHeader>
  </headerFooter>
  <drawing r:id="rId5"/>
  <legacyDrawingHF r:id="rId6"/>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X127"/>
  <sheetViews>
    <sheetView topLeftCell="AA79" workbookViewId="0">
      <selection activeCell="A88" sqref="A88"/>
    </sheetView>
  </sheetViews>
  <sheetFormatPr defaultColWidth="8.77734375" defaultRowHeight="13.2" x14ac:dyDescent="0.25"/>
  <cols>
    <col min="1" max="1" width="5.6640625" customWidth="1"/>
    <col min="2" max="21" width="7.6640625" customWidth="1"/>
    <col min="37" max="37" width="10" bestFit="1" customWidth="1"/>
    <col min="38" max="38" width="10" customWidth="1"/>
    <col min="41" max="41" width="10" bestFit="1" customWidth="1"/>
  </cols>
  <sheetData>
    <row r="1" spans="2:22" ht="13.8" thickBot="1" x14ac:dyDescent="0.3"/>
    <row r="2" spans="2:22" ht="13.8" thickBot="1" x14ac:dyDescent="0.3">
      <c r="B2" s="422" t="s">
        <v>37</v>
      </c>
      <c r="C2" s="423"/>
      <c r="D2" s="423"/>
      <c r="E2" s="423"/>
      <c r="F2" s="423"/>
      <c r="G2" s="423"/>
      <c r="H2" s="423"/>
      <c r="I2" s="423"/>
      <c r="J2" s="423"/>
      <c r="K2" s="423"/>
      <c r="L2" s="423"/>
      <c r="M2" s="423"/>
      <c r="N2" s="423"/>
      <c r="O2" s="423"/>
      <c r="P2" s="423"/>
      <c r="Q2" s="423"/>
      <c r="R2" s="423"/>
      <c r="S2" s="423"/>
      <c r="T2" s="423"/>
      <c r="U2" s="424"/>
    </row>
    <row r="3" spans="2:22" x14ac:dyDescent="0.25">
      <c r="B3" s="436" t="s">
        <v>36</v>
      </c>
      <c r="C3" s="437"/>
      <c r="D3" s="434" t="s">
        <v>35</v>
      </c>
      <c r="E3" s="434"/>
      <c r="F3" s="434"/>
      <c r="G3" s="434"/>
      <c r="H3" s="434"/>
      <c r="I3" s="434"/>
      <c r="J3" s="434"/>
      <c r="K3" s="434"/>
      <c r="L3" s="434"/>
      <c r="M3" s="434"/>
      <c r="N3" s="434"/>
      <c r="O3" s="434"/>
      <c r="P3" s="434"/>
      <c r="Q3" s="434"/>
      <c r="R3" s="434"/>
      <c r="S3" s="434"/>
      <c r="T3" s="434"/>
      <c r="U3" s="435"/>
    </row>
    <row r="4" spans="2:22" x14ac:dyDescent="0.25">
      <c r="B4" s="9" t="s">
        <v>28</v>
      </c>
      <c r="C4" s="12" t="s">
        <v>29</v>
      </c>
      <c r="D4" s="15">
        <v>1</v>
      </c>
      <c r="E4" s="15">
        <v>2</v>
      </c>
      <c r="F4" s="15">
        <v>3</v>
      </c>
      <c r="G4" s="15">
        <v>4</v>
      </c>
      <c r="H4" s="15">
        <v>5</v>
      </c>
      <c r="I4" s="15">
        <v>6</v>
      </c>
      <c r="J4" s="15">
        <v>7</v>
      </c>
      <c r="K4" s="15">
        <v>8</v>
      </c>
      <c r="L4" s="15">
        <v>9</v>
      </c>
      <c r="M4" s="15">
        <v>10</v>
      </c>
      <c r="N4" s="15">
        <v>11</v>
      </c>
      <c r="O4" s="15">
        <v>12</v>
      </c>
      <c r="P4" s="15">
        <v>13</v>
      </c>
      <c r="Q4" s="15">
        <v>14</v>
      </c>
      <c r="R4" s="15">
        <v>15</v>
      </c>
      <c r="S4" s="15">
        <v>16</v>
      </c>
      <c r="T4" s="15">
        <v>17</v>
      </c>
      <c r="U4" s="16">
        <v>18</v>
      </c>
      <c r="V4" s="23"/>
    </row>
    <row r="5" spans="2:22" x14ac:dyDescent="0.25">
      <c r="B5" s="10">
        <v>1</v>
      </c>
      <c r="C5" s="13">
        <v>3</v>
      </c>
      <c r="D5" s="17">
        <v>0.8</v>
      </c>
      <c r="E5" s="17">
        <v>1.2</v>
      </c>
      <c r="F5" s="17">
        <v>2</v>
      </c>
      <c r="G5" s="17">
        <v>3</v>
      </c>
      <c r="H5" s="17">
        <v>4</v>
      </c>
      <c r="I5" s="17">
        <v>6</v>
      </c>
      <c r="J5" s="17">
        <v>10</v>
      </c>
      <c r="K5" s="17">
        <v>14</v>
      </c>
      <c r="L5" s="17">
        <v>25</v>
      </c>
      <c r="M5" s="17">
        <v>40</v>
      </c>
      <c r="N5" s="17">
        <v>60</v>
      </c>
      <c r="O5" s="17">
        <v>100</v>
      </c>
      <c r="P5" s="17">
        <v>140</v>
      </c>
      <c r="Q5" s="17">
        <v>250</v>
      </c>
      <c r="R5" s="17">
        <v>400</v>
      </c>
      <c r="S5" s="17">
        <v>600</v>
      </c>
      <c r="T5" s="17">
        <v>1000</v>
      </c>
      <c r="U5" s="18">
        <v>1400</v>
      </c>
      <c r="V5" s="24" t="str">
        <f>IF(AND(pannello!$U$12&gt;=dati!B5,pannello!$U$12&lt;=dati!C5),1,"")</f>
        <v/>
      </c>
    </row>
    <row r="6" spans="2:22" x14ac:dyDescent="0.25">
      <c r="B6" s="10">
        <v>3</v>
      </c>
      <c r="C6" s="13">
        <v>6</v>
      </c>
      <c r="D6" s="17">
        <v>1</v>
      </c>
      <c r="E6" s="17">
        <v>1.5</v>
      </c>
      <c r="F6" s="17">
        <v>2.5</v>
      </c>
      <c r="G6" s="17">
        <v>4</v>
      </c>
      <c r="H6" s="17">
        <v>5</v>
      </c>
      <c r="I6" s="17">
        <v>8</v>
      </c>
      <c r="J6" s="17">
        <v>12</v>
      </c>
      <c r="K6" s="17">
        <v>18</v>
      </c>
      <c r="L6" s="17">
        <v>30</v>
      </c>
      <c r="M6" s="17">
        <v>48</v>
      </c>
      <c r="N6" s="17">
        <v>75</v>
      </c>
      <c r="O6" s="17">
        <v>120</v>
      </c>
      <c r="P6" s="17">
        <v>180</v>
      </c>
      <c r="Q6" s="17">
        <v>300</v>
      </c>
      <c r="R6" s="17">
        <v>480</v>
      </c>
      <c r="S6" s="17">
        <v>750</v>
      </c>
      <c r="T6" s="17">
        <v>1200</v>
      </c>
      <c r="U6" s="18">
        <v>1800</v>
      </c>
      <c r="V6" s="24" t="str">
        <f>IF(AND(pannello!$U$12&gt;dati!B6,pannello!$U$12&lt;=dati!C6),2,"")</f>
        <v/>
      </c>
    </row>
    <row r="7" spans="2:22" x14ac:dyDescent="0.25">
      <c r="B7" s="10">
        <v>6</v>
      </c>
      <c r="C7" s="13">
        <v>10</v>
      </c>
      <c r="D7" s="17">
        <v>1</v>
      </c>
      <c r="E7" s="17">
        <v>1.5</v>
      </c>
      <c r="F7" s="17">
        <v>2.5</v>
      </c>
      <c r="G7" s="17">
        <v>4</v>
      </c>
      <c r="H7" s="17">
        <v>6</v>
      </c>
      <c r="I7" s="17">
        <v>9</v>
      </c>
      <c r="J7" s="17">
        <v>15</v>
      </c>
      <c r="K7" s="17">
        <v>22</v>
      </c>
      <c r="L7" s="17">
        <v>36</v>
      </c>
      <c r="M7" s="17">
        <v>58</v>
      </c>
      <c r="N7" s="17">
        <v>90</v>
      </c>
      <c r="O7" s="17">
        <v>150</v>
      </c>
      <c r="P7" s="17">
        <v>220</v>
      </c>
      <c r="Q7" s="17">
        <v>360</v>
      </c>
      <c r="R7" s="17">
        <v>580</v>
      </c>
      <c r="S7" s="17">
        <v>900</v>
      </c>
      <c r="T7" s="17">
        <v>1500</v>
      </c>
      <c r="U7" s="18">
        <v>2200</v>
      </c>
      <c r="V7" s="24" t="str">
        <f>IF(AND(pannello!$U$12&gt;dati!B7,pannello!$U$12&lt;=dati!C7),3,"")</f>
        <v/>
      </c>
    </row>
    <row r="8" spans="2:22" x14ac:dyDescent="0.25">
      <c r="B8" s="10">
        <v>10</v>
      </c>
      <c r="C8" s="13">
        <v>18</v>
      </c>
      <c r="D8" s="17">
        <v>1.2</v>
      </c>
      <c r="E8" s="17">
        <v>2</v>
      </c>
      <c r="F8" s="17">
        <v>3</v>
      </c>
      <c r="G8" s="17">
        <v>5</v>
      </c>
      <c r="H8" s="17">
        <v>8</v>
      </c>
      <c r="I8" s="17">
        <v>11</v>
      </c>
      <c r="J8" s="17">
        <v>18</v>
      </c>
      <c r="K8" s="17">
        <v>27</v>
      </c>
      <c r="L8" s="17">
        <v>43</v>
      </c>
      <c r="M8" s="17">
        <v>70</v>
      </c>
      <c r="N8" s="17">
        <v>110</v>
      </c>
      <c r="O8" s="17">
        <v>180</v>
      </c>
      <c r="P8" s="17">
        <v>270</v>
      </c>
      <c r="Q8" s="17">
        <v>430</v>
      </c>
      <c r="R8" s="17">
        <v>700</v>
      </c>
      <c r="S8" s="17">
        <v>1100</v>
      </c>
      <c r="T8" s="17">
        <v>1800</v>
      </c>
      <c r="U8" s="18">
        <v>2700</v>
      </c>
      <c r="V8" s="24" t="str">
        <f>IF(AND(pannello!$U$12&gt;dati!B8,pannello!$U$12&lt;=dati!C8),4,"")</f>
        <v/>
      </c>
    </row>
    <row r="9" spans="2:22" x14ac:dyDescent="0.25">
      <c r="B9" s="10">
        <v>18</v>
      </c>
      <c r="C9" s="13">
        <v>30</v>
      </c>
      <c r="D9" s="17">
        <v>1.5</v>
      </c>
      <c r="E9" s="17">
        <v>2.5</v>
      </c>
      <c r="F9" s="17">
        <v>4</v>
      </c>
      <c r="G9" s="17">
        <v>6</v>
      </c>
      <c r="H9" s="17">
        <v>9</v>
      </c>
      <c r="I9" s="17">
        <v>13</v>
      </c>
      <c r="J9" s="17">
        <v>21</v>
      </c>
      <c r="K9" s="17">
        <v>33</v>
      </c>
      <c r="L9" s="17">
        <v>52</v>
      </c>
      <c r="M9" s="17">
        <v>84</v>
      </c>
      <c r="N9" s="17">
        <v>130</v>
      </c>
      <c r="O9" s="17">
        <v>210</v>
      </c>
      <c r="P9" s="17">
        <v>330</v>
      </c>
      <c r="Q9" s="17">
        <v>520</v>
      </c>
      <c r="R9" s="17">
        <v>840</v>
      </c>
      <c r="S9" s="17">
        <v>1300</v>
      </c>
      <c r="T9" s="17">
        <v>2100</v>
      </c>
      <c r="U9" s="18">
        <v>3300</v>
      </c>
      <c r="V9" s="24" t="str">
        <f>IF(AND(pannello!$U$12&gt;dati!B9,pannello!$U$12&lt;=dati!C9),5,"")</f>
        <v/>
      </c>
    </row>
    <row r="10" spans="2:22" x14ac:dyDescent="0.25">
      <c r="B10" s="10">
        <v>30</v>
      </c>
      <c r="C10" s="13">
        <v>50</v>
      </c>
      <c r="D10" s="17">
        <v>1.5</v>
      </c>
      <c r="E10" s="17">
        <v>2.5</v>
      </c>
      <c r="F10" s="17">
        <v>4</v>
      </c>
      <c r="G10" s="17">
        <v>7</v>
      </c>
      <c r="H10" s="17">
        <v>11</v>
      </c>
      <c r="I10" s="17">
        <v>16</v>
      </c>
      <c r="J10" s="17">
        <v>25</v>
      </c>
      <c r="K10" s="17">
        <v>39</v>
      </c>
      <c r="L10" s="17">
        <v>62</v>
      </c>
      <c r="M10" s="17">
        <v>100</v>
      </c>
      <c r="N10" s="17">
        <v>160</v>
      </c>
      <c r="O10" s="17">
        <v>250</v>
      </c>
      <c r="P10" s="17">
        <v>390</v>
      </c>
      <c r="Q10" s="17">
        <v>620</v>
      </c>
      <c r="R10" s="17">
        <v>1000</v>
      </c>
      <c r="S10" s="17">
        <v>1600</v>
      </c>
      <c r="T10" s="17">
        <v>2500</v>
      </c>
      <c r="U10" s="18">
        <v>3900</v>
      </c>
      <c r="V10" s="24" t="str">
        <f>IF(AND(pannello!$U$12&gt;dati!B10,pannello!$U$12&lt;=dati!C10),6,"")</f>
        <v/>
      </c>
    </row>
    <row r="11" spans="2:22" x14ac:dyDescent="0.25">
      <c r="B11" s="10">
        <v>50</v>
      </c>
      <c r="C11" s="13">
        <v>80</v>
      </c>
      <c r="D11" s="17">
        <v>2</v>
      </c>
      <c r="E11" s="17">
        <v>3</v>
      </c>
      <c r="F11" s="17">
        <v>5</v>
      </c>
      <c r="G11" s="17">
        <v>8</v>
      </c>
      <c r="H11" s="17">
        <v>13</v>
      </c>
      <c r="I11" s="17">
        <v>19</v>
      </c>
      <c r="J11" s="17">
        <v>30</v>
      </c>
      <c r="K11" s="17">
        <v>46</v>
      </c>
      <c r="L11" s="17">
        <v>74</v>
      </c>
      <c r="M11" s="17">
        <v>120</v>
      </c>
      <c r="N11" s="17">
        <v>190</v>
      </c>
      <c r="O11" s="17">
        <v>300</v>
      </c>
      <c r="P11" s="17">
        <v>460</v>
      </c>
      <c r="Q11" s="17">
        <v>740</v>
      </c>
      <c r="R11" s="17">
        <v>1200</v>
      </c>
      <c r="S11" s="17">
        <v>1900</v>
      </c>
      <c r="T11" s="17">
        <v>3000</v>
      </c>
      <c r="U11" s="18">
        <v>4600</v>
      </c>
      <c r="V11" s="24" t="str">
        <f>IF(AND(pannello!$U$12&gt;dati!B11,pannello!$U$12&lt;=dati!C11),7,"")</f>
        <v/>
      </c>
    </row>
    <row r="12" spans="2:22" x14ac:dyDescent="0.25">
      <c r="B12" s="10">
        <v>80</v>
      </c>
      <c r="C12" s="13">
        <v>120</v>
      </c>
      <c r="D12" s="17">
        <v>2.5</v>
      </c>
      <c r="E12" s="17">
        <v>4</v>
      </c>
      <c r="F12" s="17">
        <v>6</v>
      </c>
      <c r="G12" s="17">
        <v>10</v>
      </c>
      <c r="H12" s="17">
        <v>15</v>
      </c>
      <c r="I12" s="17">
        <v>22</v>
      </c>
      <c r="J12" s="17">
        <v>35</v>
      </c>
      <c r="K12" s="17">
        <v>54</v>
      </c>
      <c r="L12" s="17">
        <v>87</v>
      </c>
      <c r="M12" s="17">
        <v>140</v>
      </c>
      <c r="N12" s="17">
        <v>220</v>
      </c>
      <c r="O12" s="17">
        <v>350</v>
      </c>
      <c r="P12" s="17">
        <v>540</v>
      </c>
      <c r="Q12" s="17">
        <v>870</v>
      </c>
      <c r="R12" s="17">
        <v>1400</v>
      </c>
      <c r="S12" s="17">
        <v>2200</v>
      </c>
      <c r="T12" s="17">
        <v>3500</v>
      </c>
      <c r="U12" s="18">
        <v>5400</v>
      </c>
      <c r="V12" s="24" t="str">
        <f>IF(AND(pannello!$U$12&gt;dati!B12,pannello!$U$12&lt;=dati!C12),8,"")</f>
        <v/>
      </c>
    </row>
    <row r="13" spans="2:22" x14ac:dyDescent="0.25">
      <c r="B13" s="10">
        <v>120</v>
      </c>
      <c r="C13" s="13">
        <v>180</v>
      </c>
      <c r="D13" s="17">
        <v>3.5</v>
      </c>
      <c r="E13" s="17">
        <v>5</v>
      </c>
      <c r="F13" s="17">
        <v>8</v>
      </c>
      <c r="G13" s="17">
        <v>12</v>
      </c>
      <c r="H13" s="17">
        <v>18</v>
      </c>
      <c r="I13" s="17">
        <v>25</v>
      </c>
      <c r="J13" s="17">
        <v>40</v>
      </c>
      <c r="K13" s="17">
        <v>63</v>
      </c>
      <c r="L13" s="17">
        <v>100</v>
      </c>
      <c r="M13" s="17">
        <v>160</v>
      </c>
      <c r="N13" s="17">
        <v>250</v>
      </c>
      <c r="O13" s="17">
        <v>400</v>
      </c>
      <c r="P13" s="17">
        <v>630</v>
      </c>
      <c r="Q13" s="17">
        <v>1000</v>
      </c>
      <c r="R13" s="17">
        <v>1600</v>
      </c>
      <c r="S13" s="17">
        <v>2500</v>
      </c>
      <c r="T13" s="17">
        <v>4000</v>
      </c>
      <c r="U13" s="18">
        <v>6300</v>
      </c>
      <c r="V13" s="24" t="str">
        <f>IF(AND(pannello!$U$12&gt;dati!B13,pannello!$U$12&lt;=dati!C13),9,"")</f>
        <v/>
      </c>
    </row>
    <row r="14" spans="2:22" x14ac:dyDescent="0.25">
      <c r="B14" s="10">
        <v>180</v>
      </c>
      <c r="C14" s="13">
        <v>250</v>
      </c>
      <c r="D14" s="17">
        <v>4.5</v>
      </c>
      <c r="E14" s="17">
        <v>7</v>
      </c>
      <c r="F14" s="17">
        <v>10</v>
      </c>
      <c r="G14" s="17">
        <v>14</v>
      </c>
      <c r="H14" s="17">
        <v>20</v>
      </c>
      <c r="I14" s="17">
        <v>29</v>
      </c>
      <c r="J14" s="17">
        <v>46</v>
      </c>
      <c r="K14" s="17">
        <v>72</v>
      </c>
      <c r="L14" s="17">
        <v>115</v>
      </c>
      <c r="M14" s="17">
        <v>185</v>
      </c>
      <c r="N14" s="17">
        <v>290</v>
      </c>
      <c r="O14" s="17">
        <v>460</v>
      </c>
      <c r="P14" s="17">
        <v>720</v>
      </c>
      <c r="Q14" s="17">
        <v>1150</v>
      </c>
      <c r="R14" s="17">
        <v>1850</v>
      </c>
      <c r="S14" s="17">
        <v>2900</v>
      </c>
      <c r="T14" s="17">
        <v>4600</v>
      </c>
      <c r="U14" s="18">
        <v>7200</v>
      </c>
      <c r="V14" s="24">
        <f>IF(AND(pannello!$U$12&gt;dati!B14,pannello!$U$12&lt;=dati!C14),10,"")</f>
        <v>10</v>
      </c>
    </row>
    <row r="15" spans="2:22" x14ac:dyDescent="0.25">
      <c r="B15" s="10">
        <v>250</v>
      </c>
      <c r="C15" s="13">
        <v>315</v>
      </c>
      <c r="D15" s="17">
        <v>6</v>
      </c>
      <c r="E15" s="17">
        <v>8</v>
      </c>
      <c r="F15" s="17">
        <v>12</v>
      </c>
      <c r="G15" s="17">
        <v>16</v>
      </c>
      <c r="H15" s="17">
        <v>23</v>
      </c>
      <c r="I15" s="17">
        <v>32</v>
      </c>
      <c r="J15" s="17">
        <v>52</v>
      </c>
      <c r="K15" s="17">
        <v>81</v>
      </c>
      <c r="L15" s="17">
        <v>130</v>
      </c>
      <c r="M15" s="17">
        <v>210</v>
      </c>
      <c r="N15" s="17">
        <v>320</v>
      </c>
      <c r="O15" s="17">
        <v>520</v>
      </c>
      <c r="P15" s="17">
        <v>810</v>
      </c>
      <c r="Q15" s="17">
        <v>1300</v>
      </c>
      <c r="R15" s="17">
        <v>2100</v>
      </c>
      <c r="S15" s="17">
        <v>3200</v>
      </c>
      <c r="T15" s="17">
        <v>5200</v>
      </c>
      <c r="U15" s="18">
        <v>8100</v>
      </c>
      <c r="V15" s="24" t="str">
        <f>IF(AND(pannello!$U$12&gt;dati!B15,pannello!$U$12&lt;=dati!C15),11,"")</f>
        <v/>
      </c>
    </row>
    <row r="16" spans="2:22" x14ac:dyDescent="0.25">
      <c r="B16" s="10">
        <v>315</v>
      </c>
      <c r="C16" s="13">
        <v>400</v>
      </c>
      <c r="D16" s="17">
        <v>7</v>
      </c>
      <c r="E16" s="17">
        <v>9</v>
      </c>
      <c r="F16" s="17">
        <v>13</v>
      </c>
      <c r="G16" s="17">
        <v>18</v>
      </c>
      <c r="H16" s="17">
        <v>25</v>
      </c>
      <c r="I16" s="17">
        <v>36</v>
      </c>
      <c r="J16" s="17">
        <v>57</v>
      </c>
      <c r="K16" s="17">
        <v>89</v>
      </c>
      <c r="L16" s="17">
        <v>140</v>
      </c>
      <c r="M16" s="17">
        <v>230</v>
      </c>
      <c r="N16" s="17">
        <v>360</v>
      </c>
      <c r="O16" s="17">
        <v>570</v>
      </c>
      <c r="P16" s="17">
        <v>890</v>
      </c>
      <c r="Q16" s="17">
        <v>1400</v>
      </c>
      <c r="R16" s="17">
        <v>2300</v>
      </c>
      <c r="S16" s="17">
        <v>3600</v>
      </c>
      <c r="T16" s="17">
        <v>5700</v>
      </c>
      <c r="U16" s="18">
        <v>8900</v>
      </c>
      <c r="V16" s="24" t="str">
        <f>IF(AND(pannello!$U$12&gt;dati!B16,pannello!$U$12&lt;=dati!C16),12,"")</f>
        <v/>
      </c>
    </row>
    <row r="17" spans="2:34" x14ac:dyDescent="0.25">
      <c r="B17" s="10">
        <v>400</v>
      </c>
      <c r="C17" s="13">
        <v>500</v>
      </c>
      <c r="D17" s="17">
        <v>8</v>
      </c>
      <c r="E17" s="17">
        <v>10</v>
      </c>
      <c r="F17" s="17">
        <v>15</v>
      </c>
      <c r="G17" s="17">
        <v>20</v>
      </c>
      <c r="H17" s="17">
        <v>27</v>
      </c>
      <c r="I17" s="17">
        <v>40</v>
      </c>
      <c r="J17" s="17">
        <v>63</v>
      </c>
      <c r="K17" s="17">
        <v>97</v>
      </c>
      <c r="L17" s="17">
        <v>156</v>
      </c>
      <c r="M17" s="17">
        <v>250</v>
      </c>
      <c r="N17" s="17">
        <v>400</v>
      </c>
      <c r="O17" s="17">
        <v>630</v>
      </c>
      <c r="P17" s="17">
        <v>970</v>
      </c>
      <c r="Q17" s="17">
        <v>1550</v>
      </c>
      <c r="R17" s="17">
        <v>2500</v>
      </c>
      <c r="S17" s="17">
        <v>4000</v>
      </c>
      <c r="T17" s="17">
        <v>6300</v>
      </c>
      <c r="U17" s="18">
        <v>9700</v>
      </c>
      <c r="V17" s="24" t="str">
        <f>IF(AND(pannello!$U$12&gt;dati!B17,pannello!$U$12&lt;=dati!C17),13,"")</f>
        <v/>
      </c>
    </row>
    <row r="18" spans="2:34" x14ac:dyDescent="0.25">
      <c r="B18" s="10">
        <v>500</v>
      </c>
      <c r="C18" s="13">
        <v>630</v>
      </c>
      <c r="D18" s="17">
        <v>9</v>
      </c>
      <c r="E18" s="17">
        <v>11</v>
      </c>
      <c r="F18" s="17">
        <v>16</v>
      </c>
      <c r="G18" s="17">
        <v>22</v>
      </c>
      <c r="H18" s="17">
        <v>32</v>
      </c>
      <c r="I18" s="17">
        <v>44</v>
      </c>
      <c r="J18" s="17">
        <v>70</v>
      </c>
      <c r="K18" s="17">
        <v>110</v>
      </c>
      <c r="L18" s="17">
        <v>175</v>
      </c>
      <c r="M18" s="17">
        <v>280</v>
      </c>
      <c r="N18" s="17">
        <v>440</v>
      </c>
      <c r="O18" s="17">
        <v>700</v>
      </c>
      <c r="P18" s="17">
        <v>1100</v>
      </c>
      <c r="Q18" s="17">
        <v>1750</v>
      </c>
      <c r="R18" s="17">
        <v>2800</v>
      </c>
      <c r="S18" s="17">
        <v>4400</v>
      </c>
      <c r="T18" s="17">
        <v>7000</v>
      </c>
      <c r="U18" s="18">
        <v>11000</v>
      </c>
      <c r="V18" s="24" t="str">
        <f>IF(AND(pannello!$U$12&gt;dati!B18,pannello!$U$12&lt;=dati!C18),14,"")</f>
        <v/>
      </c>
    </row>
    <row r="19" spans="2:34" x14ac:dyDescent="0.25">
      <c r="B19" s="10">
        <v>630</v>
      </c>
      <c r="C19" s="13">
        <v>800</v>
      </c>
      <c r="D19" s="17">
        <v>10</v>
      </c>
      <c r="E19" s="17">
        <v>13</v>
      </c>
      <c r="F19" s="17">
        <v>18</v>
      </c>
      <c r="G19" s="17">
        <v>25</v>
      </c>
      <c r="H19" s="17">
        <v>36</v>
      </c>
      <c r="I19" s="17">
        <v>50</v>
      </c>
      <c r="J19" s="17">
        <v>80</v>
      </c>
      <c r="K19" s="17">
        <v>125</v>
      </c>
      <c r="L19" s="17">
        <v>200</v>
      </c>
      <c r="M19" s="17">
        <v>320</v>
      </c>
      <c r="N19" s="17">
        <v>500</v>
      </c>
      <c r="O19" s="17">
        <v>800</v>
      </c>
      <c r="P19" s="17">
        <v>1250</v>
      </c>
      <c r="Q19" s="17">
        <v>2000</v>
      </c>
      <c r="R19" s="17">
        <v>3200</v>
      </c>
      <c r="S19" s="17">
        <v>5000</v>
      </c>
      <c r="T19" s="17">
        <v>8000</v>
      </c>
      <c r="U19" s="18">
        <v>12500</v>
      </c>
      <c r="V19" s="24" t="str">
        <f>IF(AND(pannello!$U$12&gt;dati!B19,pannello!$U$12&lt;=dati!C19),15,"")</f>
        <v/>
      </c>
    </row>
    <row r="20" spans="2:34" x14ac:dyDescent="0.25">
      <c r="B20" s="10">
        <v>800</v>
      </c>
      <c r="C20" s="13">
        <v>1000</v>
      </c>
      <c r="D20" s="17">
        <v>11</v>
      </c>
      <c r="E20" s="17">
        <v>15</v>
      </c>
      <c r="F20" s="17">
        <v>21</v>
      </c>
      <c r="G20" s="17">
        <v>28</v>
      </c>
      <c r="H20" s="17">
        <v>40</v>
      </c>
      <c r="I20" s="17">
        <v>56</v>
      </c>
      <c r="J20" s="17">
        <v>90</v>
      </c>
      <c r="K20" s="17">
        <v>140</v>
      </c>
      <c r="L20" s="17">
        <v>230</v>
      </c>
      <c r="M20" s="17">
        <v>360</v>
      </c>
      <c r="N20" s="17">
        <v>560</v>
      </c>
      <c r="O20" s="17">
        <v>900</v>
      </c>
      <c r="P20" s="17">
        <v>1400</v>
      </c>
      <c r="Q20" s="17">
        <v>2300</v>
      </c>
      <c r="R20" s="17">
        <v>3600</v>
      </c>
      <c r="S20" s="17">
        <v>5600</v>
      </c>
      <c r="T20" s="17">
        <v>9000</v>
      </c>
      <c r="U20" s="18">
        <v>14000</v>
      </c>
      <c r="V20" s="24" t="str">
        <f>IF(AND(pannello!$U$12&gt;dati!B20,pannello!$U$12&lt;=dati!C20),16,"")</f>
        <v/>
      </c>
    </row>
    <row r="21" spans="2:34" x14ac:dyDescent="0.25">
      <c r="B21" s="10">
        <v>1000</v>
      </c>
      <c r="C21" s="13">
        <v>1250</v>
      </c>
      <c r="D21" s="17">
        <v>13</v>
      </c>
      <c r="E21" s="17">
        <v>18</v>
      </c>
      <c r="F21" s="17">
        <v>24</v>
      </c>
      <c r="G21" s="17">
        <v>33</v>
      </c>
      <c r="H21" s="17">
        <v>47</v>
      </c>
      <c r="I21" s="17">
        <v>66</v>
      </c>
      <c r="J21" s="17">
        <v>105</v>
      </c>
      <c r="K21" s="17">
        <v>165</v>
      </c>
      <c r="L21" s="17">
        <v>260</v>
      </c>
      <c r="M21" s="17">
        <v>420</v>
      </c>
      <c r="N21" s="17">
        <v>660</v>
      </c>
      <c r="O21" s="17">
        <v>1050</v>
      </c>
      <c r="P21" s="17">
        <v>1650</v>
      </c>
      <c r="Q21" s="17">
        <v>2600</v>
      </c>
      <c r="R21" s="17">
        <v>4200</v>
      </c>
      <c r="S21" s="17">
        <v>6600</v>
      </c>
      <c r="T21" s="17">
        <v>10500</v>
      </c>
      <c r="U21" s="18">
        <v>16500</v>
      </c>
      <c r="V21" s="24" t="str">
        <f>IF(AND(pannello!$U$12&gt;dati!B21,pannello!$U$12&lt;=dati!C21),17,"")</f>
        <v/>
      </c>
    </row>
    <row r="22" spans="2:34" x14ac:dyDescent="0.25">
      <c r="B22" s="10">
        <v>1250</v>
      </c>
      <c r="C22" s="13">
        <v>1600</v>
      </c>
      <c r="D22" s="17">
        <v>15</v>
      </c>
      <c r="E22" s="17">
        <v>21</v>
      </c>
      <c r="F22" s="17">
        <v>29</v>
      </c>
      <c r="G22" s="17">
        <v>39</v>
      </c>
      <c r="H22" s="17">
        <v>55</v>
      </c>
      <c r="I22" s="17">
        <v>78</v>
      </c>
      <c r="J22" s="17">
        <v>125</v>
      </c>
      <c r="K22" s="17">
        <v>195</v>
      </c>
      <c r="L22" s="17">
        <v>310</v>
      </c>
      <c r="M22" s="17">
        <v>500</v>
      </c>
      <c r="N22" s="17">
        <v>780</v>
      </c>
      <c r="O22" s="17">
        <v>1250</v>
      </c>
      <c r="P22" s="17">
        <v>1950</v>
      </c>
      <c r="Q22" s="17">
        <v>3100</v>
      </c>
      <c r="R22" s="17">
        <v>5000</v>
      </c>
      <c r="S22" s="17">
        <v>7800</v>
      </c>
      <c r="T22" s="17">
        <v>12500</v>
      </c>
      <c r="U22" s="18">
        <v>19500</v>
      </c>
      <c r="V22" s="24" t="str">
        <f>IF(AND(pannello!$U$12&gt;dati!B22,pannello!$U$12&lt;=dati!C22),18,"")</f>
        <v/>
      </c>
    </row>
    <row r="23" spans="2:34" x14ac:dyDescent="0.25">
      <c r="B23" s="10">
        <v>1600</v>
      </c>
      <c r="C23" s="13">
        <v>2000</v>
      </c>
      <c r="D23" s="17">
        <v>18</v>
      </c>
      <c r="E23" s="17">
        <v>25</v>
      </c>
      <c r="F23" s="17">
        <v>35</v>
      </c>
      <c r="G23" s="17">
        <v>46</v>
      </c>
      <c r="H23" s="17">
        <v>65</v>
      </c>
      <c r="I23" s="17">
        <v>92</v>
      </c>
      <c r="J23" s="17">
        <v>150</v>
      </c>
      <c r="K23" s="17">
        <v>230</v>
      </c>
      <c r="L23" s="17">
        <v>370</v>
      </c>
      <c r="M23" s="17">
        <v>600</v>
      </c>
      <c r="N23" s="17">
        <v>920</v>
      </c>
      <c r="O23" s="17">
        <v>1500</v>
      </c>
      <c r="P23" s="17">
        <v>2300</v>
      </c>
      <c r="Q23" s="17">
        <v>3700</v>
      </c>
      <c r="R23" s="17">
        <v>6000</v>
      </c>
      <c r="S23" s="17">
        <v>9200</v>
      </c>
      <c r="T23" s="17">
        <v>15000</v>
      </c>
      <c r="U23" s="18">
        <v>23000</v>
      </c>
      <c r="V23" s="24" t="str">
        <f>IF(AND(pannello!$U$12&gt;dati!B23,pannello!$U$12&lt;=dati!C23),19,"")</f>
        <v/>
      </c>
    </row>
    <row r="24" spans="2:34" x14ac:dyDescent="0.25">
      <c r="B24" s="10">
        <v>2000</v>
      </c>
      <c r="C24" s="13">
        <v>2500</v>
      </c>
      <c r="D24" s="17">
        <v>22</v>
      </c>
      <c r="E24" s="17">
        <v>30</v>
      </c>
      <c r="F24" s="17">
        <v>41</v>
      </c>
      <c r="G24" s="17">
        <v>55</v>
      </c>
      <c r="H24" s="17">
        <v>78</v>
      </c>
      <c r="I24" s="17">
        <v>110</v>
      </c>
      <c r="J24" s="17">
        <v>175</v>
      </c>
      <c r="K24" s="17">
        <v>280</v>
      </c>
      <c r="L24" s="17">
        <v>440</v>
      </c>
      <c r="M24" s="17">
        <v>700</v>
      </c>
      <c r="N24" s="17">
        <v>1000</v>
      </c>
      <c r="O24" s="17">
        <v>1750</v>
      </c>
      <c r="P24" s="17">
        <v>2800</v>
      </c>
      <c r="Q24" s="17">
        <v>4400</v>
      </c>
      <c r="R24" s="17">
        <v>7000</v>
      </c>
      <c r="S24" s="17">
        <v>11000</v>
      </c>
      <c r="T24" s="17">
        <v>17500</v>
      </c>
      <c r="U24" s="18">
        <v>28000</v>
      </c>
      <c r="V24" s="24" t="str">
        <f>IF(AND(pannello!$U$12&gt;dati!B24,pannello!$U$12&lt;=dati!C24),20,"")</f>
        <v/>
      </c>
    </row>
    <row r="25" spans="2:34" ht="13.8" thickBot="1" x14ac:dyDescent="0.3">
      <c r="B25" s="11">
        <v>2500</v>
      </c>
      <c r="C25" s="14">
        <v>3150</v>
      </c>
      <c r="D25" s="19">
        <v>26</v>
      </c>
      <c r="E25" s="19">
        <v>36</v>
      </c>
      <c r="F25" s="19">
        <v>50</v>
      </c>
      <c r="G25" s="19">
        <v>68</v>
      </c>
      <c r="H25" s="19">
        <v>96</v>
      </c>
      <c r="I25" s="19">
        <v>135</v>
      </c>
      <c r="J25" s="19">
        <v>210</v>
      </c>
      <c r="K25" s="19">
        <v>330</v>
      </c>
      <c r="L25" s="19">
        <v>540</v>
      </c>
      <c r="M25" s="19">
        <v>860</v>
      </c>
      <c r="N25" s="19">
        <v>1350</v>
      </c>
      <c r="O25" s="19">
        <v>2100</v>
      </c>
      <c r="P25" s="19">
        <v>3300</v>
      </c>
      <c r="Q25" s="19">
        <v>5400</v>
      </c>
      <c r="R25" s="19">
        <v>8600</v>
      </c>
      <c r="S25" s="19">
        <v>13500</v>
      </c>
      <c r="T25" s="19">
        <v>21000</v>
      </c>
      <c r="U25" s="20">
        <v>33000</v>
      </c>
      <c r="V25" s="24" t="str">
        <f>IF(AND(pannello!$U$12&gt;dati!B25,pannello!$U$12&lt;=dati!C25),21,"")</f>
        <v/>
      </c>
    </row>
    <row r="26" spans="2:34" x14ac:dyDescent="0.25">
      <c r="D26" s="25" t="str">
        <f>IF(pannello!$AA$12=dati!D4,dati!D4,"")</f>
        <v/>
      </c>
      <c r="E26" s="25" t="str">
        <f>IF(pannello!$AA$12=dati!E4,dati!E4,"")</f>
        <v/>
      </c>
      <c r="F26" s="25" t="str">
        <f>IF(pannello!$AA$12=dati!F4,dati!F4,"")</f>
        <v/>
      </c>
      <c r="G26" s="25" t="str">
        <f>IF(pannello!$AA$12=dati!G4,dati!G4,"")</f>
        <v/>
      </c>
      <c r="H26" s="25" t="str">
        <f>IF(pannello!$AA$12=dati!H4,dati!H4,"")</f>
        <v/>
      </c>
      <c r="I26" s="25" t="str">
        <f>IF(pannello!$AA$12=dati!I4,dati!I4,"")</f>
        <v/>
      </c>
      <c r="J26" s="25">
        <f>IF(pannello!$AA$12=dati!J4,dati!J4,"")</f>
        <v>7</v>
      </c>
      <c r="K26" s="25" t="str">
        <f>IF(pannello!$AA$12=dati!K4,dati!K4,"")</f>
        <v/>
      </c>
      <c r="L26" s="25" t="str">
        <f>IF(pannello!$AA$12=dati!L4,dati!L4,"")</f>
        <v/>
      </c>
      <c r="M26" s="25" t="str">
        <f>IF(pannello!$AA$12=dati!M4,dati!M4,"")</f>
        <v/>
      </c>
      <c r="N26" s="25" t="str">
        <f>IF(pannello!$AA$12=dati!N4,dati!N4,"")</f>
        <v/>
      </c>
      <c r="O26" s="25" t="str">
        <f>IF(pannello!$AA$12=dati!O4,dati!O4,"")</f>
        <v/>
      </c>
      <c r="P26" s="25" t="str">
        <f>IF(pannello!$AA$12=dati!P4,dati!P4,"")</f>
        <v/>
      </c>
      <c r="Q26" s="25" t="str">
        <f>IF(pannello!$AA$12=dati!Q4,dati!Q4,"")</f>
        <v/>
      </c>
      <c r="R26" s="25" t="str">
        <f>IF(pannello!$AA$12=dati!R4,dati!R4,"")</f>
        <v/>
      </c>
      <c r="S26" s="25" t="str">
        <f>IF(pannello!$AA$12=dati!S4,dati!S4,"")</f>
        <v/>
      </c>
      <c r="T26" s="25" t="str">
        <f>IF(pannello!$AA$12=dati!T4,dati!T4,"")</f>
        <v/>
      </c>
      <c r="U26" s="25" t="str">
        <f>IF(pannello!$AA$12=dati!U4,dati!U4,"")</f>
        <v/>
      </c>
      <c r="V26" s="24">
        <f>SUM(V5:V25)</f>
        <v>10</v>
      </c>
      <c r="W26" s="25">
        <f>SUM(D26:U26)</f>
        <v>7</v>
      </c>
      <c r="X26" s="22">
        <f>IF(AND(pannello!$AA$12&gt;=7,pannello!$AA$12&lt;=11,pannello!Z12="js"),FLOOR((INDEX(scostamenti,V26,W26)),2),(INDEX(scostamenti,V26,W26)))</f>
        <v>46</v>
      </c>
    </row>
    <row r="27" spans="2:34" x14ac:dyDescent="0.25">
      <c r="D27" s="87" t="str">
        <f>IF(pannello!$R$12=dati!D4,dati!D4,"")</f>
        <v/>
      </c>
      <c r="E27" s="87" t="str">
        <f>IF(pannello!$R$12=dati!E4,dati!E4,"")</f>
        <v/>
      </c>
      <c r="F27" s="87" t="str">
        <f>IF(pannello!$R$12=dati!F4,dati!F4,"")</f>
        <v/>
      </c>
      <c r="G27" s="87" t="str">
        <f>IF(pannello!$R$12=dati!G4,dati!G4,"")</f>
        <v/>
      </c>
      <c r="H27" s="87" t="str">
        <f>IF(pannello!$R$12=dati!H4,dati!H4,"")</f>
        <v/>
      </c>
      <c r="I27" s="87" t="str">
        <f>IF(pannello!$R$12=dati!I4,dati!I4,"")</f>
        <v/>
      </c>
      <c r="J27" s="87" t="str">
        <f>IF(pannello!$R$12=dati!J4,dati!J4,"")</f>
        <v/>
      </c>
      <c r="K27" s="87">
        <f>IF(pannello!$R$12=dati!K4,dati!K4,"")</f>
        <v>8</v>
      </c>
      <c r="L27" s="87" t="str">
        <f>IF(pannello!$R$12=dati!L4,dati!L4,"")</f>
        <v/>
      </c>
      <c r="M27" s="87" t="str">
        <f>IF(pannello!$R$12=dati!M4,dati!M4,"")</f>
        <v/>
      </c>
      <c r="N27" s="87" t="str">
        <f>IF(pannello!$R$12=dati!N4,dati!N4,"")</f>
        <v/>
      </c>
      <c r="O27" s="87" t="str">
        <f>IF(pannello!$R$12=dati!O4,dati!O4,"")</f>
        <v/>
      </c>
      <c r="P27" s="87" t="str">
        <f>IF(pannello!$R$12=dati!P4,dati!P4,"")</f>
        <v/>
      </c>
      <c r="Q27" s="87" t="str">
        <f>IF(pannello!$R$12=dati!Q4,dati!Q4,"")</f>
        <v/>
      </c>
      <c r="R27" s="87" t="str">
        <f>IF(pannello!$R$12=dati!R4,dati!R4,"")</f>
        <v/>
      </c>
      <c r="S27" s="87" t="str">
        <f>IF(pannello!$R$12=dati!S4,dati!S4,"")</f>
        <v/>
      </c>
      <c r="T27" s="87" t="str">
        <f>IF(pannello!$R$12=dati!T4,dati!T4,"")</f>
        <v/>
      </c>
      <c r="U27" s="87" t="str">
        <f>IF(pannello!$R$12=dati!U4,dati!U4,"")</f>
        <v/>
      </c>
      <c r="W27" s="88">
        <f>SUM(D27:U27)</f>
        <v>8</v>
      </c>
      <c r="X27" s="22">
        <f>IF(AND(pannello!$AA$12&gt;=7,pannello!$AA$12&lt;=11,pannello!Q12="js"),FLOOR((INDEX(scostamenti,V26,W27)),2),(INDEX(scostamenti,V26,W27)))</f>
        <v>72</v>
      </c>
    </row>
    <row r="29" spans="2:34" s="21" customFormat="1" ht="13.8" thickBot="1" x14ac:dyDescent="0.3">
      <c r="D29" s="21">
        <v>1</v>
      </c>
      <c r="E29" s="21">
        <v>2</v>
      </c>
      <c r="F29" s="21">
        <v>3</v>
      </c>
      <c r="G29" s="21">
        <v>4</v>
      </c>
      <c r="H29" s="21">
        <v>5</v>
      </c>
      <c r="I29" s="21">
        <v>6</v>
      </c>
      <c r="J29" s="21">
        <v>7</v>
      </c>
      <c r="K29" s="21">
        <v>8</v>
      </c>
      <c r="L29" s="21">
        <v>9</v>
      </c>
      <c r="M29" s="21">
        <v>10</v>
      </c>
      <c r="N29" s="21">
        <v>11</v>
      </c>
      <c r="O29" s="21">
        <v>12</v>
      </c>
      <c r="P29" s="21">
        <v>13</v>
      </c>
      <c r="Q29" s="21">
        <v>14</v>
      </c>
      <c r="R29" s="21">
        <v>15</v>
      </c>
      <c r="S29" s="21">
        <v>16</v>
      </c>
      <c r="T29" s="21">
        <v>17</v>
      </c>
      <c r="U29" s="21">
        <v>18</v>
      </c>
      <c r="V29" s="21">
        <v>19</v>
      </c>
      <c r="W29" s="21">
        <v>20</v>
      </c>
      <c r="X29" s="21">
        <v>21</v>
      </c>
      <c r="Y29" s="21">
        <v>22</v>
      </c>
      <c r="Z29" s="21">
        <v>23</v>
      </c>
      <c r="AA29" s="21">
        <v>24</v>
      </c>
      <c r="AB29" s="21">
        <v>25</v>
      </c>
      <c r="AC29" s="21">
        <v>26</v>
      </c>
      <c r="AD29" s="21">
        <v>27</v>
      </c>
      <c r="AE29" s="21">
        <v>28</v>
      </c>
      <c r="AF29" s="21">
        <v>29</v>
      </c>
      <c r="AG29" s="21">
        <v>30</v>
      </c>
      <c r="AH29" s="21">
        <v>31</v>
      </c>
    </row>
    <row r="30" spans="2:34" ht="13.5" customHeight="1" thickTop="1" x14ac:dyDescent="0.25">
      <c r="B30" s="428" t="s">
        <v>34</v>
      </c>
      <c r="C30" s="430" t="s">
        <v>33</v>
      </c>
      <c r="D30" s="432" t="s">
        <v>32</v>
      </c>
      <c r="E30" s="426"/>
      <c r="F30" s="426"/>
      <c r="G30" s="426"/>
      <c r="H30" s="426"/>
      <c r="I30" s="426"/>
      <c r="J30" s="426"/>
      <c r="K30" s="426"/>
      <c r="L30" s="426"/>
      <c r="M30" s="426"/>
      <c r="N30" s="426"/>
      <c r="O30" s="433"/>
      <c r="P30" s="432" t="s">
        <v>31</v>
      </c>
      <c r="Q30" s="426"/>
      <c r="R30" s="426"/>
      <c r="S30" s="425" t="s">
        <v>30</v>
      </c>
      <c r="T30" s="426"/>
      <c r="U30" s="426"/>
      <c r="V30" s="426"/>
      <c r="W30" s="426"/>
      <c r="X30" s="426"/>
      <c r="Y30" s="426"/>
      <c r="Z30" s="426"/>
      <c r="AA30" s="426"/>
      <c r="AB30" s="426"/>
      <c r="AC30" s="426"/>
      <c r="AD30" s="426"/>
      <c r="AE30" s="426"/>
      <c r="AF30" s="426"/>
      <c r="AG30" s="426"/>
      <c r="AH30" s="427"/>
    </row>
    <row r="31" spans="2:34" x14ac:dyDescent="0.25">
      <c r="B31" s="429"/>
      <c r="C31" s="431"/>
      <c r="D31" s="2" t="s">
        <v>0</v>
      </c>
      <c r="E31" s="2" t="s">
        <v>1</v>
      </c>
      <c r="F31" s="2" t="s">
        <v>2</v>
      </c>
      <c r="G31" s="2" t="s">
        <v>21</v>
      </c>
      <c r="H31" s="2" t="s">
        <v>3</v>
      </c>
      <c r="I31" s="2" t="s">
        <v>4</v>
      </c>
      <c r="J31" s="2" t="s">
        <v>22</v>
      </c>
      <c r="K31" s="2" t="s">
        <v>5</v>
      </c>
      <c r="L31" s="2" t="s">
        <v>23</v>
      </c>
      <c r="M31" s="2" t="s">
        <v>6</v>
      </c>
      <c r="N31" s="2" t="s">
        <v>7</v>
      </c>
      <c r="O31" s="2" t="s">
        <v>24</v>
      </c>
      <c r="P31" s="2" t="s">
        <v>8</v>
      </c>
      <c r="Q31" s="2" t="s">
        <v>8</v>
      </c>
      <c r="R31" s="28" t="s">
        <v>8</v>
      </c>
      <c r="S31" s="29" t="s">
        <v>9</v>
      </c>
      <c r="T31" s="2" t="s">
        <v>9</v>
      </c>
      <c r="U31" s="2" t="s">
        <v>10</v>
      </c>
      <c r="V31" s="2" t="s">
        <v>11</v>
      </c>
      <c r="W31" s="2" t="s">
        <v>13</v>
      </c>
      <c r="X31" s="2" t="s">
        <v>14</v>
      </c>
      <c r="Y31" s="2" t="s">
        <v>15</v>
      </c>
      <c r="Z31" s="2" t="s">
        <v>16</v>
      </c>
      <c r="AA31" s="2" t="s">
        <v>17</v>
      </c>
      <c r="AB31" s="2" t="s">
        <v>18</v>
      </c>
      <c r="AC31" s="2" t="s">
        <v>19</v>
      </c>
      <c r="AD31" s="2" t="s">
        <v>12</v>
      </c>
      <c r="AE31" s="2" t="s">
        <v>20</v>
      </c>
      <c r="AF31" s="2" t="s">
        <v>25</v>
      </c>
      <c r="AG31" s="2" t="s">
        <v>26</v>
      </c>
      <c r="AH31" s="4" t="s">
        <v>27</v>
      </c>
    </row>
    <row r="32" spans="2:34" ht="13.8" thickBot="1" x14ac:dyDescent="0.3">
      <c r="B32" s="47"/>
      <c r="C32" s="48"/>
      <c r="D32" s="32"/>
      <c r="E32" s="32"/>
      <c r="F32" s="32"/>
      <c r="G32" s="32"/>
      <c r="H32" s="32"/>
      <c r="I32" s="32"/>
      <c r="J32" s="32"/>
      <c r="K32" s="32"/>
      <c r="L32" s="32"/>
      <c r="M32" s="32"/>
      <c r="N32" s="32"/>
      <c r="O32" s="32"/>
      <c r="P32" s="33" t="s">
        <v>40</v>
      </c>
      <c r="Q32" s="32">
        <v>7</v>
      </c>
      <c r="R32" s="34">
        <v>8</v>
      </c>
      <c r="S32" s="35" t="s">
        <v>38</v>
      </c>
      <c r="T32" s="32" t="s">
        <v>39</v>
      </c>
      <c r="U32" s="32"/>
      <c r="V32" s="32"/>
      <c r="W32" s="32"/>
      <c r="X32" s="32"/>
      <c r="Y32" s="32"/>
      <c r="Z32" s="32"/>
      <c r="AA32" s="32"/>
      <c r="AB32" s="32"/>
      <c r="AC32" s="32"/>
      <c r="AD32" s="32"/>
      <c r="AE32" s="32"/>
      <c r="AF32" s="32"/>
      <c r="AG32" s="32"/>
      <c r="AH32" s="36"/>
    </row>
    <row r="33" spans="1:35" ht="13.8" thickBot="1" x14ac:dyDescent="0.3">
      <c r="A33" s="76">
        <v>1</v>
      </c>
      <c r="B33" s="49"/>
      <c r="C33" s="50">
        <v>3</v>
      </c>
      <c r="D33" s="38">
        <v>-270</v>
      </c>
      <c r="E33" s="39">
        <v>-140</v>
      </c>
      <c r="F33" s="39">
        <v>-60</v>
      </c>
      <c r="G33" s="39">
        <v>-34</v>
      </c>
      <c r="H33" s="39">
        <v>-20</v>
      </c>
      <c r="I33" s="39">
        <v>-14</v>
      </c>
      <c r="J33" s="39">
        <v>-10</v>
      </c>
      <c r="K33" s="39">
        <v>-6</v>
      </c>
      <c r="L33" s="39">
        <v>-4</v>
      </c>
      <c r="M33" s="39">
        <v>-2</v>
      </c>
      <c r="N33" s="39">
        <v>0</v>
      </c>
      <c r="O33" s="40" t="str">
        <f>IF(AI33&lt;&gt;"",(IF(AND(pannello!$AA$12&gt;=7,pannello!$AA$12&lt;=11),ROUNDDOWN($X$26/-2,0),$X$26/2)),"IT/2")</f>
        <v>IT/2</v>
      </c>
      <c r="P33" s="39">
        <v>-2</v>
      </c>
      <c r="Q33" s="39">
        <v>-4</v>
      </c>
      <c r="R33" s="39">
        <v>-6</v>
      </c>
      <c r="S33" s="39">
        <v>0</v>
      </c>
      <c r="T33" s="39">
        <v>0</v>
      </c>
      <c r="U33" s="39">
        <v>2</v>
      </c>
      <c r="V33" s="39">
        <v>4</v>
      </c>
      <c r="W33" s="39">
        <v>6</v>
      </c>
      <c r="X33" s="39">
        <v>10</v>
      </c>
      <c r="Y33" s="39">
        <v>14</v>
      </c>
      <c r="Z33" s="39" t="s">
        <v>11</v>
      </c>
      <c r="AA33" s="39">
        <v>18</v>
      </c>
      <c r="AB33" s="39" t="s">
        <v>11</v>
      </c>
      <c r="AC33" s="39">
        <v>20</v>
      </c>
      <c r="AD33" s="39" t="s">
        <v>11</v>
      </c>
      <c r="AE33" s="39">
        <v>26</v>
      </c>
      <c r="AF33" s="39">
        <v>32</v>
      </c>
      <c r="AG33" s="39">
        <v>40</v>
      </c>
      <c r="AH33" s="41">
        <v>60</v>
      </c>
      <c r="AI33" t="str">
        <f>IF(AND(pannello!$U$12&gt;B33,pannello!$U$12&lt;=C33),1,"")</f>
        <v/>
      </c>
    </row>
    <row r="34" spans="1:35" ht="13.8" thickBot="1" x14ac:dyDescent="0.3">
      <c r="A34" s="76">
        <v>2</v>
      </c>
      <c r="B34" s="51">
        <v>3</v>
      </c>
      <c r="C34" s="52">
        <v>6</v>
      </c>
      <c r="D34" s="42">
        <v>-270</v>
      </c>
      <c r="E34" s="37">
        <v>-140</v>
      </c>
      <c r="F34" s="37">
        <v>-70</v>
      </c>
      <c r="G34" s="37">
        <v>-46</v>
      </c>
      <c r="H34" s="37">
        <v>-30</v>
      </c>
      <c r="I34" s="37">
        <v>-20</v>
      </c>
      <c r="J34" s="37">
        <v>-14</v>
      </c>
      <c r="K34" s="37">
        <v>-10</v>
      </c>
      <c r="L34" s="37">
        <v>-6</v>
      </c>
      <c r="M34" s="37">
        <v>-4</v>
      </c>
      <c r="N34" s="37">
        <v>0</v>
      </c>
      <c r="O34" s="40" t="str">
        <f>IF(AI34&lt;&gt;"",(IF(AND(pannello!$AA$12&gt;=7,pannello!$AA$12&lt;=11),ROUNDDOWN($X$26/-2,0),$X$26/2)),"IT/2")</f>
        <v>IT/2</v>
      </c>
      <c r="P34" s="37">
        <v>-2</v>
      </c>
      <c r="Q34" s="37">
        <v>-4</v>
      </c>
      <c r="R34" s="37" t="s">
        <v>11</v>
      </c>
      <c r="S34" s="37">
        <v>1</v>
      </c>
      <c r="T34" s="37">
        <v>0</v>
      </c>
      <c r="U34" s="37">
        <v>4</v>
      </c>
      <c r="V34" s="37">
        <v>8</v>
      </c>
      <c r="W34" s="37">
        <v>12</v>
      </c>
      <c r="X34" s="37">
        <v>15</v>
      </c>
      <c r="Y34" s="37">
        <v>19</v>
      </c>
      <c r="Z34" s="37" t="s">
        <v>11</v>
      </c>
      <c r="AA34" s="37">
        <v>23</v>
      </c>
      <c r="AB34" s="37" t="s">
        <v>11</v>
      </c>
      <c r="AC34" s="37">
        <v>28</v>
      </c>
      <c r="AD34" s="37" t="s">
        <v>11</v>
      </c>
      <c r="AE34" s="37">
        <v>35</v>
      </c>
      <c r="AF34" s="37">
        <v>42</v>
      </c>
      <c r="AG34" s="37">
        <v>50</v>
      </c>
      <c r="AH34" s="43">
        <v>80</v>
      </c>
      <c r="AI34" t="str">
        <f>IF(AND(pannello!$U$12&gt;B34,pannello!$U$12&lt;=C34),2,"")</f>
        <v/>
      </c>
    </row>
    <row r="35" spans="1:35" ht="13.8" thickBot="1" x14ac:dyDescent="0.3">
      <c r="A35" s="76">
        <v>3</v>
      </c>
      <c r="B35" s="51">
        <v>6</v>
      </c>
      <c r="C35" s="52">
        <v>10</v>
      </c>
      <c r="D35" s="42">
        <v>-280</v>
      </c>
      <c r="E35" s="37">
        <v>-150</v>
      </c>
      <c r="F35" s="37">
        <v>-80</v>
      </c>
      <c r="G35" s="37">
        <v>-56</v>
      </c>
      <c r="H35" s="37">
        <v>-40</v>
      </c>
      <c r="I35" s="37">
        <v>-25</v>
      </c>
      <c r="J35" s="37">
        <v>-18</v>
      </c>
      <c r="K35" s="37">
        <v>-13</v>
      </c>
      <c r="L35" s="37">
        <v>-8</v>
      </c>
      <c r="M35" s="37">
        <v>-5</v>
      </c>
      <c r="N35" s="37">
        <v>0</v>
      </c>
      <c r="O35" s="40" t="str">
        <f>IF(AI35&lt;&gt;"",(IF(AND(pannello!$AA$12&gt;=7,pannello!$AA$12&lt;=11),ROUNDDOWN($X$26/-2,0),$X$26/2)),"IT/2")</f>
        <v>IT/2</v>
      </c>
      <c r="P35" s="37">
        <v>-2</v>
      </c>
      <c r="Q35" s="37">
        <v>-5</v>
      </c>
      <c r="R35" s="37" t="s">
        <v>11</v>
      </c>
      <c r="S35" s="37">
        <v>1</v>
      </c>
      <c r="T35" s="37">
        <v>0</v>
      </c>
      <c r="U35" s="37">
        <v>6</v>
      </c>
      <c r="V35" s="37">
        <v>10</v>
      </c>
      <c r="W35" s="37">
        <v>15</v>
      </c>
      <c r="X35" s="37">
        <v>19</v>
      </c>
      <c r="Y35" s="37">
        <v>23</v>
      </c>
      <c r="Z35" s="37" t="s">
        <v>11</v>
      </c>
      <c r="AA35" s="37">
        <v>28</v>
      </c>
      <c r="AB35" s="37" t="s">
        <v>11</v>
      </c>
      <c r="AC35" s="37">
        <v>34</v>
      </c>
      <c r="AD35" s="37" t="s">
        <v>11</v>
      </c>
      <c r="AE35" s="37">
        <v>42</v>
      </c>
      <c r="AF35" s="37">
        <v>52</v>
      </c>
      <c r="AG35" s="37">
        <v>67</v>
      </c>
      <c r="AH35" s="43">
        <v>97</v>
      </c>
      <c r="AI35" t="str">
        <f>IF(AND(pannello!$U$12&gt;B35,pannello!$U$12&lt;=C35),3,"")</f>
        <v/>
      </c>
    </row>
    <row r="36" spans="1:35" ht="13.8" thickBot="1" x14ac:dyDescent="0.3">
      <c r="A36" s="76">
        <v>4</v>
      </c>
      <c r="B36" s="51">
        <v>10</v>
      </c>
      <c r="C36" s="52">
        <v>14</v>
      </c>
      <c r="D36" s="42">
        <v>-290</v>
      </c>
      <c r="E36" s="37">
        <v>-150</v>
      </c>
      <c r="F36" s="37">
        <v>-95</v>
      </c>
      <c r="G36" s="37" t="s">
        <v>11</v>
      </c>
      <c r="H36" s="37">
        <v>-50</v>
      </c>
      <c r="I36" s="37">
        <v>-32</v>
      </c>
      <c r="J36" s="37" t="s">
        <v>11</v>
      </c>
      <c r="K36" s="37">
        <v>-16</v>
      </c>
      <c r="L36" s="37" t="s">
        <v>11</v>
      </c>
      <c r="M36" s="37">
        <v>-6</v>
      </c>
      <c r="N36" s="37">
        <v>0</v>
      </c>
      <c r="O36" s="40" t="str">
        <f>IF(AI36&lt;&gt;"",(IF(AND(pannello!$AA$12&gt;=7,pannello!$AA$12&lt;=11),ROUNDDOWN($X$26/-2,0),$X$26/2)),"IT/2")</f>
        <v>IT/2</v>
      </c>
      <c r="P36" s="37">
        <v>-3</v>
      </c>
      <c r="Q36" s="37">
        <v>-6</v>
      </c>
      <c r="R36" s="37" t="s">
        <v>11</v>
      </c>
      <c r="S36" s="37">
        <v>1</v>
      </c>
      <c r="T36" s="37">
        <v>0</v>
      </c>
      <c r="U36" s="37">
        <v>7</v>
      </c>
      <c r="V36" s="37">
        <v>12</v>
      </c>
      <c r="W36" s="37">
        <v>18</v>
      </c>
      <c r="X36" s="37">
        <v>23</v>
      </c>
      <c r="Y36" s="37">
        <v>28</v>
      </c>
      <c r="Z36" s="37" t="s">
        <v>11</v>
      </c>
      <c r="AA36" s="37">
        <v>33</v>
      </c>
      <c r="AB36" s="37" t="s">
        <v>11</v>
      </c>
      <c r="AC36" s="37">
        <v>40</v>
      </c>
      <c r="AD36" s="37" t="s">
        <v>11</v>
      </c>
      <c r="AE36" s="37">
        <v>50</v>
      </c>
      <c r="AF36" s="37">
        <v>64</v>
      </c>
      <c r="AG36" s="37">
        <v>90</v>
      </c>
      <c r="AH36" s="43">
        <v>130</v>
      </c>
      <c r="AI36" t="str">
        <f>IF(AND(pannello!$U$12&gt;B36,pannello!$U$12&lt;=C36),4,"")</f>
        <v/>
      </c>
    </row>
    <row r="37" spans="1:35" ht="13.8" thickBot="1" x14ac:dyDescent="0.3">
      <c r="A37" s="76">
        <v>5</v>
      </c>
      <c r="B37" s="51">
        <v>14</v>
      </c>
      <c r="C37" s="52">
        <v>18</v>
      </c>
      <c r="D37" s="42">
        <v>-290</v>
      </c>
      <c r="E37" s="37">
        <v>-150</v>
      </c>
      <c r="F37" s="37">
        <v>-95</v>
      </c>
      <c r="G37" s="37" t="s">
        <v>11</v>
      </c>
      <c r="H37" s="37">
        <v>-50</v>
      </c>
      <c r="I37" s="37">
        <v>-32</v>
      </c>
      <c r="J37" s="37" t="s">
        <v>11</v>
      </c>
      <c r="K37" s="37">
        <v>-16</v>
      </c>
      <c r="L37" s="37" t="s">
        <v>11</v>
      </c>
      <c r="M37" s="37">
        <v>-6</v>
      </c>
      <c r="N37" s="37">
        <v>0</v>
      </c>
      <c r="O37" s="40" t="str">
        <f>IF(AI37&lt;&gt;"",(IF(AND(pannello!$AA$12&gt;=7,pannello!$AA$12&lt;=11),ROUNDDOWN($X$26/-2,0),$X$26/2)),"IT/2")</f>
        <v>IT/2</v>
      </c>
      <c r="P37" s="37">
        <v>-3</v>
      </c>
      <c r="Q37" s="37">
        <v>-6</v>
      </c>
      <c r="R37" s="37" t="s">
        <v>11</v>
      </c>
      <c r="S37" s="37">
        <v>1</v>
      </c>
      <c r="T37" s="37">
        <v>0</v>
      </c>
      <c r="U37" s="37">
        <v>7</v>
      </c>
      <c r="V37" s="37">
        <v>12</v>
      </c>
      <c r="W37" s="37">
        <v>18</v>
      </c>
      <c r="X37" s="37">
        <v>23</v>
      </c>
      <c r="Y37" s="37">
        <v>28</v>
      </c>
      <c r="Z37" s="37" t="s">
        <v>11</v>
      </c>
      <c r="AA37" s="37">
        <v>33</v>
      </c>
      <c r="AB37" s="37">
        <v>39</v>
      </c>
      <c r="AC37" s="37">
        <v>45</v>
      </c>
      <c r="AD37" s="37" t="s">
        <v>11</v>
      </c>
      <c r="AE37" s="37">
        <v>60</v>
      </c>
      <c r="AF37" s="37">
        <v>77</v>
      </c>
      <c r="AG37" s="37">
        <v>108</v>
      </c>
      <c r="AH37" s="43">
        <v>150</v>
      </c>
      <c r="AI37" t="str">
        <f>IF(AND(pannello!$U$12&gt;B37,pannello!$U$12&lt;=C37),5,"")</f>
        <v/>
      </c>
    </row>
    <row r="38" spans="1:35" ht="13.8" thickBot="1" x14ac:dyDescent="0.3">
      <c r="A38" s="76">
        <v>6</v>
      </c>
      <c r="B38" s="51">
        <v>18</v>
      </c>
      <c r="C38" s="52">
        <v>24</v>
      </c>
      <c r="D38" s="42">
        <v>-300</v>
      </c>
      <c r="E38" s="37">
        <v>-160</v>
      </c>
      <c r="F38" s="37">
        <v>-110</v>
      </c>
      <c r="G38" s="37" t="s">
        <v>11</v>
      </c>
      <c r="H38" s="37">
        <v>-65</v>
      </c>
      <c r="I38" s="37">
        <v>-40</v>
      </c>
      <c r="J38" s="37" t="s">
        <v>11</v>
      </c>
      <c r="K38" s="37">
        <v>-20</v>
      </c>
      <c r="L38" s="37" t="s">
        <v>11</v>
      </c>
      <c r="M38" s="37">
        <v>-7</v>
      </c>
      <c r="N38" s="37">
        <v>0</v>
      </c>
      <c r="O38" s="40" t="str">
        <f>IF(AI38&lt;&gt;"",(IF(AND(pannello!$AA$12&gt;=7,pannello!$AA$12&lt;=11),ROUNDDOWN($X$26/-2,0),$X$26/2)),"IT/2")</f>
        <v>IT/2</v>
      </c>
      <c r="P38" s="37">
        <v>-4</v>
      </c>
      <c r="Q38" s="37">
        <v>-8</v>
      </c>
      <c r="R38" s="37" t="s">
        <v>11</v>
      </c>
      <c r="S38" s="37">
        <v>2</v>
      </c>
      <c r="T38" s="37">
        <v>0</v>
      </c>
      <c r="U38" s="37">
        <v>8</v>
      </c>
      <c r="V38" s="37">
        <v>15</v>
      </c>
      <c r="W38" s="37">
        <v>22</v>
      </c>
      <c r="X38" s="37">
        <v>28</v>
      </c>
      <c r="Y38" s="37">
        <v>35</v>
      </c>
      <c r="Z38" s="37" t="s">
        <v>11</v>
      </c>
      <c r="AA38" s="37">
        <v>41</v>
      </c>
      <c r="AB38" s="37">
        <v>47</v>
      </c>
      <c r="AC38" s="37">
        <v>54</v>
      </c>
      <c r="AD38" s="37">
        <v>63</v>
      </c>
      <c r="AE38" s="37">
        <v>73</v>
      </c>
      <c r="AF38" s="37">
        <v>98</v>
      </c>
      <c r="AG38" s="37">
        <v>136</v>
      </c>
      <c r="AH38" s="43">
        <v>188</v>
      </c>
      <c r="AI38" t="str">
        <f>IF(AND(pannello!$U$12&gt;B38,pannello!$U$12&lt;=C38),6,"")</f>
        <v/>
      </c>
    </row>
    <row r="39" spans="1:35" ht="13.8" thickBot="1" x14ac:dyDescent="0.3">
      <c r="A39" s="76">
        <v>7</v>
      </c>
      <c r="B39" s="51">
        <v>24</v>
      </c>
      <c r="C39" s="52">
        <v>30</v>
      </c>
      <c r="D39" s="42">
        <v>-300</v>
      </c>
      <c r="E39" s="37">
        <v>-160</v>
      </c>
      <c r="F39" s="37">
        <v>-110</v>
      </c>
      <c r="G39" s="37" t="s">
        <v>11</v>
      </c>
      <c r="H39" s="37">
        <v>-65</v>
      </c>
      <c r="I39" s="37">
        <v>-40</v>
      </c>
      <c r="J39" s="37" t="s">
        <v>11</v>
      </c>
      <c r="K39" s="37">
        <v>-20</v>
      </c>
      <c r="L39" s="37" t="s">
        <v>11</v>
      </c>
      <c r="M39" s="37">
        <v>-7</v>
      </c>
      <c r="N39" s="37">
        <v>0</v>
      </c>
      <c r="O39" s="40" t="str">
        <f>IF(AI39&lt;&gt;"",(IF(AND(pannello!$AA$12&gt;=7,pannello!$AA$12&lt;=11),ROUNDDOWN($X$26/-2,0),$X$26/2)),"IT/2")</f>
        <v>IT/2</v>
      </c>
      <c r="P39" s="37">
        <v>-4</v>
      </c>
      <c r="Q39" s="37">
        <v>-8</v>
      </c>
      <c r="R39" s="37" t="s">
        <v>11</v>
      </c>
      <c r="S39" s="37">
        <v>2</v>
      </c>
      <c r="T39" s="37">
        <v>0</v>
      </c>
      <c r="U39" s="37">
        <v>8</v>
      </c>
      <c r="V39" s="37">
        <v>15</v>
      </c>
      <c r="W39" s="37">
        <v>22</v>
      </c>
      <c r="X39" s="37">
        <v>28</v>
      </c>
      <c r="Y39" s="37">
        <v>35</v>
      </c>
      <c r="Z39" s="37">
        <v>41</v>
      </c>
      <c r="AA39" s="37">
        <v>48</v>
      </c>
      <c r="AB39" s="37">
        <v>55</v>
      </c>
      <c r="AC39" s="37">
        <v>64</v>
      </c>
      <c r="AD39" s="37">
        <v>75</v>
      </c>
      <c r="AE39" s="37">
        <v>88</v>
      </c>
      <c r="AF39" s="37">
        <v>118</v>
      </c>
      <c r="AG39" s="37">
        <v>160</v>
      </c>
      <c r="AH39" s="43">
        <v>218</v>
      </c>
      <c r="AI39" t="str">
        <f>IF(AND(pannello!$U$12&gt;B39,pannello!$U$12&lt;=C39),7,"")</f>
        <v/>
      </c>
    </row>
    <row r="40" spans="1:35" ht="13.8" thickBot="1" x14ac:dyDescent="0.3">
      <c r="A40" s="76">
        <v>8</v>
      </c>
      <c r="B40" s="51">
        <v>30</v>
      </c>
      <c r="C40" s="52">
        <v>40</v>
      </c>
      <c r="D40" s="42">
        <v>-310</v>
      </c>
      <c r="E40" s="37">
        <v>-170</v>
      </c>
      <c r="F40" s="37">
        <v>-120</v>
      </c>
      <c r="G40" s="37" t="s">
        <v>11</v>
      </c>
      <c r="H40" s="37">
        <v>-80</v>
      </c>
      <c r="I40" s="37">
        <v>-50</v>
      </c>
      <c r="J40" s="37" t="s">
        <v>11</v>
      </c>
      <c r="K40" s="37">
        <v>-25</v>
      </c>
      <c r="L40" s="37" t="s">
        <v>11</v>
      </c>
      <c r="M40" s="37">
        <v>-9</v>
      </c>
      <c r="N40" s="37">
        <v>0</v>
      </c>
      <c r="O40" s="40" t="str">
        <f>IF(AI40&lt;&gt;"",(IF(AND(pannello!$AA$12&gt;=7,pannello!$AA$12&lt;=11),ROUNDDOWN($X$26/-2,0),$X$26/2)),"IT/2")</f>
        <v>IT/2</v>
      </c>
      <c r="P40" s="37">
        <v>-5</v>
      </c>
      <c r="Q40" s="37">
        <v>-10</v>
      </c>
      <c r="R40" s="37" t="s">
        <v>11</v>
      </c>
      <c r="S40" s="37">
        <v>2</v>
      </c>
      <c r="T40" s="37">
        <v>0</v>
      </c>
      <c r="U40" s="37">
        <v>9</v>
      </c>
      <c r="V40" s="37">
        <v>17</v>
      </c>
      <c r="W40" s="37">
        <v>26</v>
      </c>
      <c r="X40" s="37">
        <v>34</v>
      </c>
      <c r="Y40" s="37">
        <v>43</v>
      </c>
      <c r="Z40" s="37">
        <v>48</v>
      </c>
      <c r="AA40" s="37">
        <v>60</v>
      </c>
      <c r="AB40" s="37">
        <v>68</v>
      </c>
      <c r="AC40" s="37">
        <v>80</v>
      </c>
      <c r="AD40" s="37">
        <v>94</v>
      </c>
      <c r="AE40" s="37">
        <v>112</v>
      </c>
      <c r="AF40" s="37">
        <v>148</v>
      </c>
      <c r="AG40" s="37">
        <v>200</v>
      </c>
      <c r="AH40" s="43">
        <v>274</v>
      </c>
      <c r="AI40" t="str">
        <f>IF(AND(pannello!$U$12&gt;B40,pannello!$U$12&lt;=C40),8,"")</f>
        <v/>
      </c>
    </row>
    <row r="41" spans="1:35" ht="13.8" thickBot="1" x14ac:dyDescent="0.3">
      <c r="A41" s="76">
        <v>9</v>
      </c>
      <c r="B41" s="51">
        <v>40</v>
      </c>
      <c r="C41" s="52">
        <v>50</v>
      </c>
      <c r="D41" s="42">
        <v>-320</v>
      </c>
      <c r="E41" s="37">
        <v>-180</v>
      </c>
      <c r="F41" s="37">
        <v>-130</v>
      </c>
      <c r="G41" s="37" t="s">
        <v>11</v>
      </c>
      <c r="H41" s="37">
        <v>-80</v>
      </c>
      <c r="I41" s="37">
        <v>-50</v>
      </c>
      <c r="J41" s="37" t="s">
        <v>11</v>
      </c>
      <c r="K41" s="37">
        <v>-25</v>
      </c>
      <c r="L41" s="37" t="s">
        <v>11</v>
      </c>
      <c r="M41" s="37">
        <v>-9</v>
      </c>
      <c r="N41" s="37">
        <v>0</v>
      </c>
      <c r="O41" s="40" t="str">
        <f>IF(AI41&lt;&gt;"",(IF(AND(pannello!$AA$12&gt;=7,pannello!$AA$12&lt;=11),ROUNDDOWN($X$26/-2,0),$X$26/2)),"IT/2")</f>
        <v>IT/2</v>
      </c>
      <c r="P41" s="37">
        <v>-5</v>
      </c>
      <c r="Q41" s="37">
        <v>-10</v>
      </c>
      <c r="R41" s="37" t="s">
        <v>11</v>
      </c>
      <c r="S41" s="37">
        <v>2</v>
      </c>
      <c r="T41" s="37">
        <v>0</v>
      </c>
      <c r="U41" s="37">
        <v>9</v>
      </c>
      <c r="V41" s="37">
        <v>17</v>
      </c>
      <c r="W41" s="37">
        <v>26</v>
      </c>
      <c r="X41" s="37">
        <v>34</v>
      </c>
      <c r="Y41" s="37">
        <v>43</v>
      </c>
      <c r="Z41" s="37">
        <v>54</v>
      </c>
      <c r="AA41" s="37">
        <v>70</v>
      </c>
      <c r="AB41" s="37">
        <v>81</v>
      </c>
      <c r="AC41" s="37">
        <v>97</v>
      </c>
      <c r="AD41" s="37">
        <v>114</v>
      </c>
      <c r="AE41" s="37">
        <v>136</v>
      </c>
      <c r="AF41" s="37">
        <v>180</v>
      </c>
      <c r="AG41" s="37">
        <v>242</v>
      </c>
      <c r="AH41" s="43">
        <v>325</v>
      </c>
      <c r="AI41" t="str">
        <f>IF(AND(pannello!$U$12&gt;B41,pannello!$U$12&lt;=C41),9,"")</f>
        <v/>
      </c>
    </row>
    <row r="42" spans="1:35" ht="13.8" thickBot="1" x14ac:dyDescent="0.3">
      <c r="A42" s="76">
        <v>10</v>
      </c>
      <c r="B42" s="51">
        <v>50</v>
      </c>
      <c r="C42" s="52">
        <v>65</v>
      </c>
      <c r="D42" s="42">
        <v>-340</v>
      </c>
      <c r="E42" s="37">
        <v>-190</v>
      </c>
      <c r="F42" s="37">
        <v>-140</v>
      </c>
      <c r="G42" s="37" t="s">
        <v>11</v>
      </c>
      <c r="H42" s="37">
        <v>-100</v>
      </c>
      <c r="I42" s="37">
        <v>-60</v>
      </c>
      <c r="J42" s="37" t="s">
        <v>11</v>
      </c>
      <c r="K42" s="37">
        <v>-30</v>
      </c>
      <c r="L42" s="37" t="s">
        <v>11</v>
      </c>
      <c r="M42" s="37">
        <v>-10</v>
      </c>
      <c r="N42" s="37">
        <v>0</v>
      </c>
      <c r="O42" s="40" t="str">
        <f>IF(AI42&lt;&gt;"",(IF(AND(pannello!$AA$12&gt;=7,pannello!$AA$12&lt;=11),ROUNDDOWN($X$26/-2,0),$X$26/2)),"IT/2")</f>
        <v>IT/2</v>
      </c>
      <c r="P42" s="37">
        <v>-7</v>
      </c>
      <c r="Q42" s="37">
        <v>-12</v>
      </c>
      <c r="R42" s="37" t="s">
        <v>11</v>
      </c>
      <c r="S42" s="37">
        <v>2</v>
      </c>
      <c r="T42" s="37">
        <v>0</v>
      </c>
      <c r="U42" s="37">
        <v>11</v>
      </c>
      <c r="V42" s="37">
        <v>20</v>
      </c>
      <c r="W42" s="37">
        <v>32</v>
      </c>
      <c r="X42" s="37">
        <v>41</v>
      </c>
      <c r="Y42" s="37">
        <v>53</v>
      </c>
      <c r="Z42" s="37">
        <v>66</v>
      </c>
      <c r="AA42" s="37">
        <v>87</v>
      </c>
      <c r="AB42" s="37">
        <v>102</v>
      </c>
      <c r="AC42" s="37">
        <v>122</v>
      </c>
      <c r="AD42" s="37">
        <v>144</v>
      </c>
      <c r="AE42" s="37">
        <v>172</v>
      </c>
      <c r="AF42" s="37">
        <v>226</v>
      </c>
      <c r="AG42" s="37">
        <v>300</v>
      </c>
      <c r="AH42" s="43">
        <v>405</v>
      </c>
      <c r="AI42" t="str">
        <f>IF(AND(pannello!$U$12&gt;B42,pannello!$U$12&lt;=C42),10,"")</f>
        <v/>
      </c>
    </row>
    <row r="43" spans="1:35" ht="13.8" thickBot="1" x14ac:dyDescent="0.3">
      <c r="A43" s="76">
        <v>11</v>
      </c>
      <c r="B43" s="51">
        <v>65</v>
      </c>
      <c r="C43" s="52">
        <v>80</v>
      </c>
      <c r="D43" s="42">
        <v>-360</v>
      </c>
      <c r="E43" s="37">
        <v>-200</v>
      </c>
      <c r="F43" s="37">
        <v>-150</v>
      </c>
      <c r="G43" s="37" t="s">
        <v>11</v>
      </c>
      <c r="H43" s="37">
        <v>-100</v>
      </c>
      <c r="I43" s="37">
        <v>-60</v>
      </c>
      <c r="J43" s="37" t="s">
        <v>11</v>
      </c>
      <c r="K43" s="37">
        <v>-30</v>
      </c>
      <c r="L43" s="37" t="s">
        <v>11</v>
      </c>
      <c r="M43" s="37">
        <v>-10</v>
      </c>
      <c r="N43" s="37">
        <v>0</v>
      </c>
      <c r="O43" s="40" t="str">
        <f>IF(AI43&lt;&gt;"",(IF(AND(pannello!$AA$12&gt;=7,pannello!$AA$12&lt;=11),ROUNDDOWN($X$26/-2,0),$X$26/2)),"IT/2")</f>
        <v>IT/2</v>
      </c>
      <c r="P43" s="37">
        <v>-7</v>
      </c>
      <c r="Q43" s="37">
        <v>-12</v>
      </c>
      <c r="R43" s="37" t="s">
        <v>11</v>
      </c>
      <c r="S43" s="37">
        <v>2</v>
      </c>
      <c r="T43" s="37">
        <v>0</v>
      </c>
      <c r="U43" s="37">
        <v>11</v>
      </c>
      <c r="V43" s="37">
        <v>20</v>
      </c>
      <c r="W43" s="37">
        <v>32</v>
      </c>
      <c r="X43" s="37">
        <v>43</v>
      </c>
      <c r="Y43" s="37">
        <v>59</v>
      </c>
      <c r="Z43" s="37">
        <v>75</v>
      </c>
      <c r="AA43" s="37">
        <v>102</v>
      </c>
      <c r="AB43" s="37">
        <v>120</v>
      </c>
      <c r="AC43" s="37">
        <v>146</v>
      </c>
      <c r="AD43" s="37">
        <v>174</v>
      </c>
      <c r="AE43" s="37">
        <v>210</v>
      </c>
      <c r="AF43" s="37">
        <v>274</v>
      </c>
      <c r="AG43" s="37">
        <v>360</v>
      </c>
      <c r="AH43" s="43">
        <v>480</v>
      </c>
      <c r="AI43" t="str">
        <f>IF(AND(pannello!$U$12&gt;B43,pannello!$U$12&lt;=C43),11,"")</f>
        <v/>
      </c>
    </row>
    <row r="44" spans="1:35" ht="13.8" thickBot="1" x14ac:dyDescent="0.3">
      <c r="A44" s="76">
        <v>12</v>
      </c>
      <c r="B44" s="51">
        <v>80</v>
      </c>
      <c r="C44" s="52">
        <v>100</v>
      </c>
      <c r="D44" s="42">
        <v>-380</v>
      </c>
      <c r="E44" s="37">
        <v>-220</v>
      </c>
      <c r="F44" s="37">
        <v>-170</v>
      </c>
      <c r="G44" s="37" t="s">
        <v>11</v>
      </c>
      <c r="H44" s="37">
        <v>-120</v>
      </c>
      <c r="I44" s="37">
        <v>-72</v>
      </c>
      <c r="J44" s="37" t="s">
        <v>11</v>
      </c>
      <c r="K44" s="37">
        <v>-36</v>
      </c>
      <c r="L44" s="37" t="s">
        <v>11</v>
      </c>
      <c r="M44" s="37">
        <v>-12</v>
      </c>
      <c r="N44" s="37">
        <v>0</v>
      </c>
      <c r="O44" s="40" t="str">
        <f>IF(AI44&lt;&gt;"",(IF(AND(pannello!$AA$12&gt;=7,pannello!$AA$12&lt;=11),ROUNDDOWN($X$26/-2,0),$X$26/2)),"IT/2")</f>
        <v>IT/2</v>
      </c>
      <c r="P44" s="37">
        <v>-9</v>
      </c>
      <c r="Q44" s="37">
        <v>-15</v>
      </c>
      <c r="R44" s="37" t="s">
        <v>11</v>
      </c>
      <c r="S44" s="37">
        <v>3</v>
      </c>
      <c r="T44" s="37">
        <v>0</v>
      </c>
      <c r="U44" s="37">
        <v>13</v>
      </c>
      <c r="V44" s="37">
        <v>23</v>
      </c>
      <c r="W44" s="37">
        <v>37</v>
      </c>
      <c r="X44" s="37">
        <v>51</v>
      </c>
      <c r="Y44" s="37">
        <v>71</v>
      </c>
      <c r="Z44" s="37">
        <v>91</v>
      </c>
      <c r="AA44" s="37">
        <v>124</v>
      </c>
      <c r="AB44" s="37">
        <v>146</v>
      </c>
      <c r="AC44" s="37">
        <v>178</v>
      </c>
      <c r="AD44" s="37">
        <v>214</v>
      </c>
      <c r="AE44" s="37">
        <v>258</v>
      </c>
      <c r="AF44" s="37">
        <v>335</v>
      </c>
      <c r="AG44" s="37">
        <v>445</v>
      </c>
      <c r="AH44" s="43">
        <v>585</v>
      </c>
      <c r="AI44" t="str">
        <f>IF(AND(pannello!$U$12&gt;B44,pannello!$U$12&lt;=C44),12,"")</f>
        <v/>
      </c>
    </row>
    <row r="45" spans="1:35" ht="13.8" thickBot="1" x14ac:dyDescent="0.3">
      <c r="A45" s="76">
        <v>13</v>
      </c>
      <c r="B45" s="51">
        <v>100</v>
      </c>
      <c r="C45" s="52">
        <v>120</v>
      </c>
      <c r="D45" s="42">
        <v>-410</v>
      </c>
      <c r="E45" s="37">
        <v>-240</v>
      </c>
      <c r="F45" s="37">
        <v>-180</v>
      </c>
      <c r="G45" s="37" t="s">
        <v>11</v>
      </c>
      <c r="H45" s="37">
        <v>-120</v>
      </c>
      <c r="I45" s="37">
        <v>-72</v>
      </c>
      <c r="J45" s="37" t="s">
        <v>11</v>
      </c>
      <c r="K45" s="37">
        <v>-36</v>
      </c>
      <c r="L45" s="37" t="s">
        <v>11</v>
      </c>
      <c r="M45" s="37">
        <v>-12</v>
      </c>
      <c r="N45" s="37">
        <v>0</v>
      </c>
      <c r="O45" s="40" t="str">
        <f>IF(AI45&lt;&gt;"",(IF(AND(pannello!$AA$12&gt;=7,pannello!$AA$12&lt;=11),ROUNDDOWN($X$26/-2,0),$X$26/2)),"IT/2")</f>
        <v>IT/2</v>
      </c>
      <c r="P45" s="37">
        <v>-9</v>
      </c>
      <c r="Q45" s="37">
        <v>-15</v>
      </c>
      <c r="R45" s="37" t="s">
        <v>11</v>
      </c>
      <c r="S45" s="37">
        <v>3</v>
      </c>
      <c r="T45" s="37">
        <v>0</v>
      </c>
      <c r="U45" s="37">
        <v>13</v>
      </c>
      <c r="V45" s="37">
        <v>23</v>
      </c>
      <c r="W45" s="37">
        <v>37</v>
      </c>
      <c r="X45" s="37">
        <v>54</v>
      </c>
      <c r="Y45" s="37">
        <v>79</v>
      </c>
      <c r="Z45" s="37">
        <v>104</v>
      </c>
      <c r="AA45" s="37">
        <v>144</v>
      </c>
      <c r="AB45" s="37">
        <v>172</v>
      </c>
      <c r="AC45" s="37">
        <v>210</v>
      </c>
      <c r="AD45" s="37">
        <v>254</v>
      </c>
      <c r="AE45" s="37">
        <v>310</v>
      </c>
      <c r="AF45" s="37">
        <v>400</v>
      </c>
      <c r="AG45" s="37">
        <v>525</v>
      </c>
      <c r="AH45" s="43">
        <v>690</v>
      </c>
      <c r="AI45" t="str">
        <f>IF(AND(pannello!$U$12&gt;B45,pannello!$U$12&lt;=C45),13,"")</f>
        <v/>
      </c>
    </row>
    <row r="46" spans="1:35" ht="13.8" thickBot="1" x14ac:dyDescent="0.3">
      <c r="A46" s="76">
        <v>14</v>
      </c>
      <c r="B46" s="51">
        <v>120</v>
      </c>
      <c r="C46" s="52">
        <v>140</v>
      </c>
      <c r="D46" s="42">
        <v>-460</v>
      </c>
      <c r="E46" s="37">
        <v>-260</v>
      </c>
      <c r="F46" s="37">
        <v>-200</v>
      </c>
      <c r="G46" s="37" t="s">
        <v>11</v>
      </c>
      <c r="H46" s="37">
        <v>-145</v>
      </c>
      <c r="I46" s="37">
        <v>-85</v>
      </c>
      <c r="J46" s="37" t="s">
        <v>11</v>
      </c>
      <c r="K46" s="37">
        <v>-43</v>
      </c>
      <c r="L46" s="37" t="s">
        <v>11</v>
      </c>
      <c r="M46" s="37">
        <v>-14</v>
      </c>
      <c r="N46" s="37">
        <v>0</v>
      </c>
      <c r="O46" s="40" t="str">
        <f>IF(AI46&lt;&gt;"",(IF(AND(pannello!$AA$12&gt;=7,pannello!$AA$12&lt;=11),ROUNDDOWN($X$26/-2,0),$X$26/2)),"IT/2")</f>
        <v>IT/2</v>
      </c>
      <c r="P46" s="37">
        <v>-11</v>
      </c>
      <c r="Q46" s="37">
        <v>-18</v>
      </c>
      <c r="R46" s="37" t="s">
        <v>11</v>
      </c>
      <c r="S46" s="37">
        <v>3</v>
      </c>
      <c r="T46" s="37">
        <v>0</v>
      </c>
      <c r="U46" s="37">
        <v>15</v>
      </c>
      <c r="V46" s="37">
        <v>27</v>
      </c>
      <c r="W46" s="37">
        <v>43</v>
      </c>
      <c r="X46" s="37">
        <v>63</v>
      </c>
      <c r="Y46" s="37">
        <v>92</v>
      </c>
      <c r="Z46" s="37">
        <v>122</v>
      </c>
      <c r="AA46" s="37">
        <v>170</v>
      </c>
      <c r="AB46" s="37">
        <v>202</v>
      </c>
      <c r="AC46" s="37">
        <v>248</v>
      </c>
      <c r="AD46" s="37">
        <v>300</v>
      </c>
      <c r="AE46" s="37">
        <v>365</v>
      </c>
      <c r="AF46" s="37">
        <v>470</v>
      </c>
      <c r="AG46" s="37">
        <v>620</v>
      </c>
      <c r="AH46" s="43">
        <v>800</v>
      </c>
      <c r="AI46" t="str">
        <f>IF(AND(pannello!$U$12&gt;B46,pannello!$U$12&lt;=C46),14,"")</f>
        <v/>
      </c>
    </row>
    <row r="47" spans="1:35" ht="13.8" thickBot="1" x14ac:dyDescent="0.3">
      <c r="A47" s="76">
        <v>15</v>
      </c>
      <c r="B47" s="51">
        <v>140</v>
      </c>
      <c r="C47" s="52">
        <v>160</v>
      </c>
      <c r="D47" s="42">
        <v>-520</v>
      </c>
      <c r="E47" s="37">
        <v>-280</v>
      </c>
      <c r="F47" s="37">
        <v>-210</v>
      </c>
      <c r="G47" s="37" t="s">
        <v>11</v>
      </c>
      <c r="H47" s="37">
        <v>-145</v>
      </c>
      <c r="I47" s="37">
        <v>-85</v>
      </c>
      <c r="J47" s="37" t="s">
        <v>11</v>
      </c>
      <c r="K47" s="37">
        <v>-43</v>
      </c>
      <c r="L47" s="37" t="s">
        <v>11</v>
      </c>
      <c r="M47" s="37">
        <v>-14</v>
      </c>
      <c r="N47" s="37">
        <v>0</v>
      </c>
      <c r="O47" s="40" t="str">
        <f>IF(AI47&lt;&gt;"",(IF(AND(pannello!$AA$12&gt;=7,pannello!$AA$12&lt;=11),ROUNDDOWN($X$26/-2,0),$X$26/2)),"IT/2")</f>
        <v>IT/2</v>
      </c>
      <c r="P47" s="37">
        <v>-11</v>
      </c>
      <c r="Q47" s="37">
        <v>-18</v>
      </c>
      <c r="R47" s="37" t="s">
        <v>11</v>
      </c>
      <c r="S47" s="37">
        <v>3</v>
      </c>
      <c r="T47" s="37">
        <v>0</v>
      </c>
      <c r="U47" s="37">
        <v>15</v>
      </c>
      <c r="V47" s="37">
        <v>27</v>
      </c>
      <c r="W47" s="37">
        <v>43</v>
      </c>
      <c r="X47" s="37">
        <v>65</v>
      </c>
      <c r="Y47" s="37">
        <v>100</v>
      </c>
      <c r="Z47" s="37">
        <v>134</v>
      </c>
      <c r="AA47" s="37">
        <v>190</v>
      </c>
      <c r="AB47" s="37">
        <v>228</v>
      </c>
      <c r="AC47" s="37">
        <v>280</v>
      </c>
      <c r="AD47" s="37">
        <v>340</v>
      </c>
      <c r="AE47" s="37">
        <v>415</v>
      </c>
      <c r="AF47" s="37">
        <v>535</v>
      </c>
      <c r="AG47" s="37">
        <v>700</v>
      </c>
      <c r="AH47" s="43">
        <v>900</v>
      </c>
      <c r="AI47" t="str">
        <f>IF(AND(pannello!$U$12&gt;B47,pannello!$U$12&lt;=C47),15,"")</f>
        <v/>
      </c>
    </row>
    <row r="48" spans="1:35" ht="13.8" thickBot="1" x14ac:dyDescent="0.3">
      <c r="A48" s="76">
        <v>16</v>
      </c>
      <c r="B48" s="51">
        <v>160</v>
      </c>
      <c r="C48" s="52">
        <v>180</v>
      </c>
      <c r="D48" s="42">
        <v>-580</v>
      </c>
      <c r="E48" s="37">
        <v>-310</v>
      </c>
      <c r="F48" s="37">
        <v>-230</v>
      </c>
      <c r="G48" s="37" t="s">
        <v>11</v>
      </c>
      <c r="H48" s="37">
        <v>-145</v>
      </c>
      <c r="I48" s="37">
        <v>-85</v>
      </c>
      <c r="J48" s="37" t="s">
        <v>11</v>
      </c>
      <c r="K48" s="37">
        <v>-43</v>
      </c>
      <c r="L48" s="37" t="s">
        <v>11</v>
      </c>
      <c r="M48" s="37">
        <v>-14</v>
      </c>
      <c r="N48" s="37">
        <v>0</v>
      </c>
      <c r="O48" s="40" t="str">
        <f>IF(AI48&lt;&gt;"",(IF(AND(pannello!$AA$12&gt;=7,pannello!$AA$12&lt;=11),ROUNDDOWN($X$26/-2,0),$X$26/2)),"IT/2")</f>
        <v>IT/2</v>
      </c>
      <c r="P48" s="37">
        <v>-11</v>
      </c>
      <c r="Q48" s="37">
        <v>-18</v>
      </c>
      <c r="R48" s="37" t="s">
        <v>11</v>
      </c>
      <c r="S48" s="37">
        <v>3</v>
      </c>
      <c r="T48" s="37">
        <v>0</v>
      </c>
      <c r="U48" s="37">
        <v>15</v>
      </c>
      <c r="V48" s="37">
        <v>27</v>
      </c>
      <c r="W48" s="37">
        <v>43</v>
      </c>
      <c r="X48" s="37">
        <v>68</v>
      </c>
      <c r="Y48" s="37">
        <v>108</v>
      </c>
      <c r="Z48" s="37">
        <v>146</v>
      </c>
      <c r="AA48" s="37">
        <v>210</v>
      </c>
      <c r="AB48" s="37">
        <v>252</v>
      </c>
      <c r="AC48" s="37">
        <v>310</v>
      </c>
      <c r="AD48" s="37">
        <v>380</v>
      </c>
      <c r="AE48" s="37">
        <v>465</v>
      </c>
      <c r="AF48" s="37">
        <v>600</v>
      </c>
      <c r="AG48" s="37">
        <v>780</v>
      </c>
      <c r="AH48" s="43">
        <v>1000</v>
      </c>
      <c r="AI48" t="str">
        <f>IF(AND(pannello!$U$12&gt;B48,pannello!$U$12&lt;=C48),16,"")</f>
        <v/>
      </c>
    </row>
    <row r="49" spans="1:35" ht="13.8" thickBot="1" x14ac:dyDescent="0.3">
      <c r="A49" s="76">
        <v>17</v>
      </c>
      <c r="B49" s="51">
        <v>180</v>
      </c>
      <c r="C49" s="52">
        <v>200</v>
      </c>
      <c r="D49" s="42">
        <v>-660</v>
      </c>
      <c r="E49" s="37">
        <v>-340</v>
      </c>
      <c r="F49" s="37">
        <v>-240</v>
      </c>
      <c r="G49" s="37" t="s">
        <v>11</v>
      </c>
      <c r="H49" s="37">
        <v>-170</v>
      </c>
      <c r="I49" s="37">
        <v>-100</v>
      </c>
      <c r="J49" s="37" t="s">
        <v>11</v>
      </c>
      <c r="K49" s="37">
        <v>-50</v>
      </c>
      <c r="L49" s="37" t="s">
        <v>11</v>
      </c>
      <c r="M49" s="37">
        <v>-15</v>
      </c>
      <c r="N49" s="37">
        <v>0</v>
      </c>
      <c r="O49" s="40" t="str">
        <f>IF(AI49&lt;&gt;"",(IF(AND(pannello!$AA$12&gt;=7,pannello!$AA$12&lt;=11),ROUNDDOWN($X$26/-2,0),$X$26/2)),"IT/2")</f>
        <v>IT/2</v>
      </c>
      <c r="P49" s="37">
        <v>-13</v>
      </c>
      <c r="Q49" s="37">
        <v>-21</v>
      </c>
      <c r="R49" s="37" t="s">
        <v>11</v>
      </c>
      <c r="S49" s="37">
        <v>4</v>
      </c>
      <c r="T49" s="37">
        <v>0</v>
      </c>
      <c r="U49" s="37">
        <v>17</v>
      </c>
      <c r="V49" s="37">
        <v>31</v>
      </c>
      <c r="W49" s="37">
        <v>50</v>
      </c>
      <c r="X49" s="37">
        <v>77</v>
      </c>
      <c r="Y49" s="37">
        <v>122</v>
      </c>
      <c r="Z49" s="37">
        <v>166</v>
      </c>
      <c r="AA49" s="37">
        <v>236</v>
      </c>
      <c r="AB49" s="37">
        <v>284</v>
      </c>
      <c r="AC49" s="37">
        <v>350</v>
      </c>
      <c r="AD49" s="37">
        <v>425</v>
      </c>
      <c r="AE49" s="37">
        <v>520</v>
      </c>
      <c r="AF49" s="37">
        <v>670</v>
      </c>
      <c r="AG49" s="37">
        <v>880</v>
      </c>
      <c r="AH49" s="43">
        <v>1150</v>
      </c>
      <c r="AI49" t="str">
        <f>IF(AND(pannello!$U$12&gt;B49,pannello!$U$12&lt;=C49),17,"")</f>
        <v/>
      </c>
    </row>
    <row r="50" spans="1:35" ht="13.8" thickBot="1" x14ac:dyDescent="0.3">
      <c r="A50" s="76">
        <v>18</v>
      </c>
      <c r="B50" s="51">
        <v>200</v>
      </c>
      <c r="C50" s="52">
        <v>225</v>
      </c>
      <c r="D50" s="42">
        <v>-740</v>
      </c>
      <c r="E50" s="37">
        <v>-380</v>
      </c>
      <c r="F50" s="37">
        <v>-260</v>
      </c>
      <c r="G50" s="37" t="s">
        <v>11</v>
      </c>
      <c r="H50" s="37">
        <v>-170</v>
      </c>
      <c r="I50" s="37">
        <v>-100</v>
      </c>
      <c r="J50" s="37" t="s">
        <v>11</v>
      </c>
      <c r="K50" s="37">
        <v>-50</v>
      </c>
      <c r="L50" s="37" t="s">
        <v>11</v>
      </c>
      <c r="M50" s="37">
        <v>-15</v>
      </c>
      <c r="N50" s="37">
        <v>0</v>
      </c>
      <c r="O50" s="40" t="str">
        <f>IF(AI50&lt;&gt;"",(IF(AND(pannello!$AA$12&gt;=7,pannello!$AA$12&lt;=11),ROUNDDOWN($X$26/-2,0),$X$26/2)),"IT/2")</f>
        <v>IT/2</v>
      </c>
      <c r="P50" s="37">
        <v>-13</v>
      </c>
      <c r="Q50" s="37">
        <v>-21</v>
      </c>
      <c r="R50" s="37" t="s">
        <v>11</v>
      </c>
      <c r="S50" s="37">
        <v>4</v>
      </c>
      <c r="T50" s="37">
        <v>0</v>
      </c>
      <c r="U50" s="37">
        <v>17</v>
      </c>
      <c r="V50" s="37">
        <v>31</v>
      </c>
      <c r="W50" s="37">
        <v>50</v>
      </c>
      <c r="X50" s="37">
        <v>80</v>
      </c>
      <c r="Y50" s="37">
        <v>130</v>
      </c>
      <c r="Z50" s="37">
        <v>180</v>
      </c>
      <c r="AA50" s="37">
        <v>258</v>
      </c>
      <c r="AB50" s="37">
        <v>310</v>
      </c>
      <c r="AC50" s="37">
        <v>385</v>
      </c>
      <c r="AD50" s="37">
        <v>470</v>
      </c>
      <c r="AE50" s="37">
        <v>575</v>
      </c>
      <c r="AF50" s="37">
        <v>740</v>
      </c>
      <c r="AG50" s="37">
        <v>960</v>
      </c>
      <c r="AH50" s="43">
        <v>1250</v>
      </c>
      <c r="AI50" t="str">
        <f>IF(AND(pannello!$U$12&gt;B50,pannello!$U$12&lt;=C50),18,"")</f>
        <v/>
      </c>
    </row>
    <row r="51" spans="1:35" ht="13.8" thickBot="1" x14ac:dyDescent="0.3">
      <c r="A51" s="76">
        <v>19</v>
      </c>
      <c r="B51" s="51">
        <v>225</v>
      </c>
      <c r="C51" s="52">
        <v>250</v>
      </c>
      <c r="D51" s="42">
        <v>-820</v>
      </c>
      <c r="E51" s="37">
        <v>-420</v>
      </c>
      <c r="F51" s="37">
        <v>-280</v>
      </c>
      <c r="G51" s="37" t="s">
        <v>11</v>
      </c>
      <c r="H51" s="37">
        <v>-170</v>
      </c>
      <c r="I51" s="37">
        <v>-100</v>
      </c>
      <c r="J51" s="37" t="s">
        <v>11</v>
      </c>
      <c r="K51" s="37">
        <v>-50</v>
      </c>
      <c r="L51" s="37" t="s">
        <v>11</v>
      </c>
      <c r="M51" s="37">
        <v>-15</v>
      </c>
      <c r="N51" s="37">
        <v>0</v>
      </c>
      <c r="O51" s="40">
        <f>IF(AI51&lt;&gt;"",(IF(AND(pannello!$AA$12&gt;=7,pannello!$AA$12&lt;=11),ROUNDDOWN($X$26/-2,0),$X$26/2)),"IT/2")</f>
        <v>-23</v>
      </c>
      <c r="P51" s="37">
        <v>-13</v>
      </c>
      <c r="Q51" s="37">
        <v>-21</v>
      </c>
      <c r="R51" s="37" t="s">
        <v>11</v>
      </c>
      <c r="S51" s="37">
        <v>4</v>
      </c>
      <c r="T51" s="37">
        <v>0</v>
      </c>
      <c r="U51" s="37">
        <v>17</v>
      </c>
      <c r="V51" s="37">
        <v>31</v>
      </c>
      <c r="W51" s="37">
        <v>50</v>
      </c>
      <c r="X51" s="37">
        <v>84</v>
      </c>
      <c r="Y51" s="37">
        <v>140</v>
      </c>
      <c r="Z51" s="37">
        <v>196</v>
      </c>
      <c r="AA51" s="37">
        <v>284</v>
      </c>
      <c r="AB51" s="37">
        <v>340</v>
      </c>
      <c r="AC51" s="37">
        <v>425</v>
      </c>
      <c r="AD51" s="37">
        <v>520</v>
      </c>
      <c r="AE51" s="37">
        <v>640</v>
      </c>
      <c r="AF51" s="37">
        <v>820</v>
      </c>
      <c r="AG51" s="37">
        <v>1050</v>
      </c>
      <c r="AH51" s="43">
        <v>1350</v>
      </c>
      <c r="AI51">
        <f>IF(AND(pannello!$U$12&gt;B51,pannello!$U$12&lt;=C51),19,"")</f>
        <v>19</v>
      </c>
    </row>
    <row r="52" spans="1:35" ht="13.8" thickBot="1" x14ac:dyDescent="0.3">
      <c r="A52" s="76">
        <v>20</v>
      </c>
      <c r="B52" s="51">
        <v>250</v>
      </c>
      <c r="C52" s="52">
        <v>280</v>
      </c>
      <c r="D52" s="42">
        <v>-920</v>
      </c>
      <c r="E52" s="37">
        <v>-480</v>
      </c>
      <c r="F52" s="37">
        <v>-300</v>
      </c>
      <c r="G52" s="37" t="s">
        <v>11</v>
      </c>
      <c r="H52" s="37">
        <v>-190</v>
      </c>
      <c r="I52" s="37">
        <v>-110</v>
      </c>
      <c r="J52" s="37" t="s">
        <v>11</v>
      </c>
      <c r="K52" s="37">
        <v>-56</v>
      </c>
      <c r="L52" s="37" t="s">
        <v>11</v>
      </c>
      <c r="M52" s="37">
        <v>-17</v>
      </c>
      <c r="N52" s="37">
        <v>0</v>
      </c>
      <c r="O52" s="40" t="str">
        <f>IF(AI52&lt;&gt;"",(IF(AND(pannello!$AA$12&gt;=7,pannello!$AA$12&lt;=11),ROUNDDOWN($X$26/-2,0),$X$26/2)),"IT/2")</f>
        <v>IT/2</v>
      </c>
      <c r="P52" s="37">
        <v>-16</v>
      </c>
      <c r="Q52" s="37">
        <v>-26</v>
      </c>
      <c r="R52" s="37" t="s">
        <v>11</v>
      </c>
      <c r="S52" s="37">
        <v>4</v>
      </c>
      <c r="T52" s="37">
        <v>0</v>
      </c>
      <c r="U52" s="37">
        <v>20</v>
      </c>
      <c r="V52" s="37">
        <v>34</v>
      </c>
      <c r="W52" s="37">
        <v>56</v>
      </c>
      <c r="X52" s="37">
        <v>94</v>
      </c>
      <c r="Y52" s="37">
        <v>158</v>
      </c>
      <c r="Z52" s="37">
        <v>218</v>
      </c>
      <c r="AA52" s="37">
        <v>315</v>
      </c>
      <c r="AB52" s="37">
        <v>385</v>
      </c>
      <c r="AC52" s="37">
        <v>475</v>
      </c>
      <c r="AD52" s="37">
        <v>580</v>
      </c>
      <c r="AE52" s="37">
        <v>710</v>
      </c>
      <c r="AF52" s="37">
        <v>920</v>
      </c>
      <c r="AG52" s="37">
        <v>1200</v>
      </c>
      <c r="AH52" s="43">
        <v>1550</v>
      </c>
      <c r="AI52" t="str">
        <f>IF(AND(pannello!$U$12&gt;B52,pannello!$U$12&lt;=C52),20,"")</f>
        <v/>
      </c>
    </row>
    <row r="53" spans="1:35" ht="13.8" thickBot="1" x14ac:dyDescent="0.3">
      <c r="A53" s="76">
        <v>21</v>
      </c>
      <c r="B53" s="51">
        <v>280</v>
      </c>
      <c r="C53" s="52">
        <v>315</v>
      </c>
      <c r="D53" s="42">
        <v>-1050</v>
      </c>
      <c r="E53" s="37">
        <v>-540</v>
      </c>
      <c r="F53" s="37">
        <v>-330</v>
      </c>
      <c r="G53" s="37" t="s">
        <v>11</v>
      </c>
      <c r="H53" s="37">
        <v>-190</v>
      </c>
      <c r="I53" s="37">
        <v>-110</v>
      </c>
      <c r="J53" s="37" t="s">
        <v>11</v>
      </c>
      <c r="K53" s="37">
        <v>-56</v>
      </c>
      <c r="L53" s="37" t="s">
        <v>11</v>
      </c>
      <c r="M53" s="37">
        <v>-17</v>
      </c>
      <c r="N53" s="37">
        <v>0</v>
      </c>
      <c r="O53" s="40" t="str">
        <f>IF(AI53&lt;&gt;"",(IF(AND(pannello!$AA$12&gt;=7,pannello!$AA$12&lt;=11),ROUNDDOWN($X$26/-2,0),$X$26/2)),"IT/2")</f>
        <v>IT/2</v>
      </c>
      <c r="P53" s="37">
        <v>-16</v>
      </c>
      <c r="Q53" s="37">
        <v>-26</v>
      </c>
      <c r="R53" s="37" t="s">
        <v>11</v>
      </c>
      <c r="S53" s="37">
        <v>4</v>
      </c>
      <c r="T53" s="37">
        <v>0</v>
      </c>
      <c r="U53" s="37">
        <v>20</v>
      </c>
      <c r="V53" s="37">
        <v>34</v>
      </c>
      <c r="W53" s="37">
        <v>56</v>
      </c>
      <c r="X53" s="37">
        <v>98</v>
      </c>
      <c r="Y53" s="37">
        <v>170</v>
      </c>
      <c r="Z53" s="37">
        <v>240</v>
      </c>
      <c r="AA53" s="37">
        <v>350</v>
      </c>
      <c r="AB53" s="37">
        <v>425</v>
      </c>
      <c r="AC53" s="37">
        <v>525</v>
      </c>
      <c r="AD53" s="37">
        <v>650</v>
      </c>
      <c r="AE53" s="37">
        <v>790</v>
      </c>
      <c r="AF53" s="37">
        <v>1000</v>
      </c>
      <c r="AG53" s="37">
        <v>1300</v>
      </c>
      <c r="AH53" s="43">
        <v>1700</v>
      </c>
      <c r="AI53" t="str">
        <f>IF(AND(pannello!$U$12&gt;B53,pannello!$U$12&lt;=C53),21,"")</f>
        <v/>
      </c>
    </row>
    <row r="54" spans="1:35" ht="13.8" thickBot="1" x14ac:dyDescent="0.3">
      <c r="A54" s="76">
        <v>22</v>
      </c>
      <c r="B54" s="51">
        <v>315</v>
      </c>
      <c r="C54" s="52">
        <v>355</v>
      </c>
      <c r="D54" s="42">
        <v>-1200</v>
      </c>
      <c r="E54" s="37">
        <v>-600</v>
      </c>
      <c r="F54" s="37">
        <v>-360</v>
      </c>
      <c r="G54" s="37" t="s">
        <v>11</v>
      </c>
      <c r="H54" s="37">
        <v>-210</v>
      </c>
      <c r="I54" s="37">
        <v>-125</v>
      </c>
      <c r="J54" s="37" t="s">
        <v>11</v>
      </c>
      <c r="K54" s="37">
        <v>-62</v>
      </c>
      <c r="L54" s="37" t="s">
        <v>11</v>
      </c>
      <c r="M54" s="37">
        <v>-18</v>
      </c>
      <c r="N54" s="37">
        <v>0</v>
      </c>
      <c r="O54" s="40" t="str">
        <f>IF(AI54&lt;&gt;"",(IF(AND(pannello!$AA$12&gt;=7,pannello!$AA$12&lt;=11),ROUNDDOWN($X$26/-2,0),$X$26/2)),"IT/2")</f>
        <v>IT/2</v>
      </c>
      <c r="P54" s="37">
        <v>-18</v>
      </c>
      <c r="Q54" s="37">
        <v>-28</v>
      </c>
      <c r="R54" s="37" t="s">
        <v>11</v>
      </c>
      <c r="S54" s="37">
        <v>4</v>
      </c>
      <c r="T54" s="37">
        <v>0</v>
      </c>
      <c r="U54" s="37">
        <v>21</v>
      </c>
      <c r="V54" s="37">
        <v>37</v>
      </c>
      <c r="W54" s="37">
        <v>62</v>
      </c>
      <c r="X54" s="37">
        <v>108</v>
      </c>
      <c r="Y54" s="37">
        <v>190</v>
      </c>
      <c r="Z54" s="37">
        <v>268</v>
      </c>
      <c r="AA54" s="37">
        <v>390</v>
      </c>
      <c r="AB54" s="37">
        <v>475</v>
      </c>
      <c r="AC54" s="37">
        <v>590</v>
      </c>
      <c r="AD54" s="37">
        <v>730</v>
      </c>
      <c r="AE54" s="37">
        <v>900</v>
      </c>
      <c r="AF54" s="37">
        <v>1150</v>
      </c>
      <c r="AG54" s="37">
        <v>1500</v>
      </c>
      <c r="AH54" s="43">
        <v>1900</v>
      </c>
      <c r="AI54" t="str">
        <f>IF(AND(pannello!$U$12&gt;B54,pannello!$U$12&lt;=C54),22,"")</f>
        <v/>
      </c>
    </row>
    <row r="55" spans="1:35" ht="13.8" thickBot="1" x14ac:dyDescent="0.3">
      <c r="A55" s="76">
        <v>23</v>
      </c>
      <c r="B55" s="51">
        <v>355</v>
      </c>
      <c r="C55" s="52">
        <v>400</v>
      </c>
      <c r="D55" s="42">
        <v>-1350</v>
      </c>
      <c r="E55" s="37">
        <v>-680</v>
      </c>
      <c r="F55" s="37">
        <v>-400</v>
      </c>
      <c r="G55" s="37" t="s">
        <v>11</v>
      </c>
      <c r="H55" s="37">
        <v>-210</v>
      </c>
      <c r="I55" s="37">
        <v>-125</v>
      </c>
      <c r="J55" s="37" t="s">
        <v>11</v>
      </c>
      <c r="K55" s="37">
        <v>-62</v>
      </c>
      <c r="L55" s="37" t="s">
        <v>11</v>
      </c>
      <c r="M55" s="37">
        <v>-18</v>
      </c>
      <c r="N55" s="37">
        <v>0</v>
      </c>
      <c r="O55" s="40" t="str">
        <f>IF(AI55&lt;&gt;"",(IF(AND(pannello!$AA$12&gt;=7,pannello!$AA$12&lt;=11),ROUNDDOWN($X$26/-2,0),$X$26/2)),"IT/2")</f>
        <v>IT/2</v>
      </c>
      <c r="P55" s="37">
        <v>-18</v>
      </c>
      <c r="Q55" s="37">
        <v>-28</v>
      </c>
      <c r="R55" s="37" t="s">
        <v>11</v>
      </c>
      <c r="S55" s="37">
        <v>4</v>
      </c>
      <c r="T55" s="37">
        <v>0</v>
      </c>
      <c r="U55" s="37">
        <v>21</v>
      </c>
      <c r="V55" s="37">
        <v>37</v>
      </c>
      <c r="W55" s="37">
        <v>62</v>
      </c>
      <c r="X55" s="37">
        <v>114</v>
      </c>
      <c r="Y55" s="37">
        <v>208</v>
      </c>
      <c r="Z55" s="37">
        <v>294</v>
      </c>
      <c r="AA55" s="37">
        <v>435</v>
      </c>
      <c r="AB55" s="37">
        <v>530</v>
      </c>
      <c r="AC55" s="37">
        <v>660</v>
      </c>
      <c r="AD55" s="37">
        <v>820</v>
      </c>
      <c r="AE55" s="37">
        <v>1000</v>
      </c>
      <c r="AF55" s="37">
        <v>1300</v>
      </c>
      <c r="AG55" s="37">
        <v>1650</v>
      </c>
      <c r="AH55" s="43">
        <v>2100</v>
      </c>
      <c r="AI55" t="str">
        <f>IF(AND(pannello!$U$12&gt;B55,pannello!$U$12&lt;=C55),23,"")</f>
        <v/>
      </c>
    </row>
    <row r="56" spans="1:35" ht="13.8" thickBot="1" x14ac:dyDescent="0.3">
      <c r="A56" s="76">
        <v>24</v>
      </c>
      <c r="B56" s="51">
        <v>400</v>
      </c>
      <c r="C56" s="52">
        <v>450</v>
      </c>
      <c r="D56" s="42">
        <v>-1500</v>
      </c>
      <c r="E56" s="37">
        <v>-760</v>
      </c>
      <c r="F56" s="37">
        <v>-440</v>
      </c>
      <c r="G56" s="37" t="s">
        <v>11</v>
      </c>
      <c r="H56" s="37">
        <v>-230</v>
      </c>
      <c r="I56" s="37">
        <v>-135</v>
      </c>
      <c r="J56" s="37" t="s">
        <v>11</v>
      </c>
      <c r="K56" s="37">
        <v>-68</v>
      </c>
      <c r="L56" s="37" t="s">
        <v>11</v>
      </c>
      <c r="M56" s="37">
        <v>-20</v>
      </c>
      <c r="N56" s="37">
        <v>0</v>
      </c>
      <c r="O56" s="40" t="str">
        <f>IF(AI56&lt;&gt;"",(IF(AND(pannello!$AA$12&gt;=7,pannello!$AA$12&lt;=11),ROUNDDOWN($X$26/-2,0),$X$26/2)),"IT/2")</f>
        <v>IT/2</v>
      </c>
      <c r="P56" s="37">
        <v>-20</v>
      </c>
      <c r="Q56" s="37">
        <v>-32</v>
      </c>
      <c r="R56" s="37" t="s">
        <v>11</v>
      </c>
      <c r="S56" s="37">
        <v>5</v>
      </c>
      <c r="T56" s="37">
        <v>0</v>
      </c>
      <c r="U56" s="37">
        <v>23</v>
      </c>
      <c r="V56" s="37">
        <v>40</v>
      </c>
      <c r="W56" s="37">
        <v>68</v>
      </c>
      <c r="X56" s="37">
        <v>126</v>
      </c>
      <c r="Y56" s="37">
        <v>232</v>
      </c>
      <c r="Z56" s="37">
        <v>330</v>
      </c>
      <c r="AA56" s="37">
        <v>490</v>
      </c>
      <c r="AB56" s="37">
        <v>595</v>
      </c>
      <c r="AC56" s="37">
        <v>740</v>
      </c>
      <c r="AD56" s="37">
        <v>920</v>
      </c>
      <c r="AE56" s="37">
        <v>1100</v>
      </c>
      <c r="AF56" s="37">
        <v>1450</v>
      </c>
      <c r="AG56" s="37">
        <v>1850</v>
      </c>
      <c r="AH56" s="43">
        <v>2400</v>
      </c>
      <c r="AI56" t="str">
        <f>IF(AND(pannello!$U$12&gt;B56,pannello!$U$12&lt;=C56),24,"")</f>
        <v/>
      </c>
    </row>
    <row r="57" spans="1:35" ht="13.8" thickBot="1" x14ac:dyDescent="0.3">
      <c r="A57" s="76">
        <v>25</v>
      </c>
      <c r="B57" s="51">
        <v>450</v>
      </c>
      <c r="C57" s="52">
        <v>500</v>
      </c>
      <c r="D57" s="42">
        <v>-1650</v>
      </c>
      <c r="E57" s="37">
        <v>-840</v>
      </c>
      <c r="F57" s="37">
        <v>-480</v>
      </c>
      <c r="G57" s="37" t="s">
        <v>11</v>
      </c>
      <c r="H57" s="37">
        <v>-230</v>
      </c>
      <c r="I57" s="37">
        <v>-135</v>
      </c>
      <c r="J57" s="37" t="s">
        <v>11</v>
      </c>
      <c r="K57" s="37">
        <v>-68</v>
      </c>
      <c r="L57" s="37" t="s">
        <v>11</v>
      </c>
      <c r="M57" s="37">
        <v>-20</v>
      </c>
      <c r="N57" s="37">
        <v>0</v>
      </c>
      <c r="O57" s="40" t="str">
        <f>IF(AI57&lt;&gt;"",(IF(AND(pannello!$AA$12&gt;=7,pannello!$AA$12&lt;=11),ROUNDDOWN($X$26/-2,0),$X$26/2)),"IT/2")</f>
        <v>IT/2</v>
      </c>
      <c r="P57" s="37">
        <v>-20</v>
      </c>
      <c r="Q57" s="37">
        <v>-32</v>
      </c>
      <c r="R57" s="37" t="s">
        <v>11</v>
      </c>
      <c r="S57" s="37">
        <v>5</v>
      </c>
      <c r="T57" s="37">
        <v>0</v>
      </c>
      <c r="U57" s="37">
        <v>23</v>
      </c>
      <c r="V57" s="37">
        <v>40</v>
      </c>
      <c r="W57" s="37">
        <v>68</v>
      </c>
      <c r="X57" s="37">
        <v>132</v>
      </c>
      <c r="Y57" s="37">
        <v>252</v>
      </c>
      <c r="Z57" s="37">
        <v>360</v>
      </c>
      <c r="AA57" s="37">
        <v>540</v>
      </c>
      <c r="AB57" s="37">
        <v>660</v>
      </c>
      <c r="AC57" s="37">
        <v>820</v>
      </c>
      <c r="AD57" s="37">
        <v>1000</v>
      </c>
      <c r="AE57" s="37">
        <v>1250</v>
      </c>
      <c r="AF57" s="37">
        <v>1600</v>
      </c>
      <c r="AG57" s="37">
        <v>2100</v>
      </c>
      <c r="AH57" s="43">
        <v>2600</v>
      </c>
      <c r="AI57" t="str">
        <f>IF(AND(pannello!$U$12&gt;B57,pannello!$U$12&lt;=C57),25,"")</f>
        <v/>
      </c>
    </row>
    <row r="58" spans="1:35" ht="13.8" thickBot="1" x14ac:dyDescent="0.3">
      <c r="A58" s="76">
        <v>26</v>
      </c>
      <c r="B58" s="51">
        <v>500</v>
      </c>
      <c r="C58" s="52">
        <v>560</v>
      </c>
      <c r="D58" s="42" t="s">
        <v>11</v>
      </c>
      <c r="E58" s="37" t="s">
        <v>11</v>
      </c>
      <c r="F58" s="37" t="s">
        <v>11</v>
      </c>
      <c r="G58" s="37" t="s">
        <v>11</v>
      </c>
      <c r="H58" s="37">
        <v>-260</v>
      </c>
      <c r="I58" s="37">
        <v>-145</v>
      </c>
      <c r="J58" s="37" t="s">
        <v>11</v>
      </c>
      <c r="K58" s="37">
        <v>-76</v>
      </c>
      <c r="L58" s="37" t="s">
        <v>11</v>
      </c>
      <c r="M58" s="37">
        <v>-22</v>
      </c>
      <c r="N58" s="37">
        <v>0</v>
      </c>
      <c r="O58" s="40" t="str">
        <f>IF(AI58&lt;&gt;"",(IF(AND(pannello!$AA$12&gt;=7,pannello!$AA$12&lt;=11),ROUNDDOWN($X$26/-2,0),$X$26/2)),"IT/2")</f>
        <v>IT/2</v>
      </c>
      <c r="P58" s="37" t="s">
        <v>11</v>
      </c>
      <c r="Q58" s="37" t="s">
        <v>11</v>
      </c>
      <c r="R58" s="37" t="s">
        <v>11</v>
      </c>
      <c r="S58" s="37">
        <v>0</v>
      </c>
      <c r="T58" s="37">
        <v>0</v>
      </c>
      <c r="U58" s="37">
        <v>26</v>
      </c>
      <c r="V58" s="37">
        <v>44</v>
      </c>
      <c r="W58" s="37">
        <v>78</v>
      </c>
      <c r="X58" s="37">
        <v>150</v>
      </c>
      <c r="Y58" s="37">
        <v>280</v>
      </c>
      <c r="Z58" s="37">
        <v>400</v>
      </c>
      <c r="AA58" s="37">
        <v>600</v>
      </c>
      <c r="AB58" s="37" t="s">
        <v>11</v>
      </c>
      <c r="AC58" s="37" t="s">
        <v>11</v>
      </c>
      <c r="AD58" s="37" t="s">
        <v>11</v>
      </c>
      <c r="AE58" s="37" t="s">
        <v>11</v>
      </c>
      <c r="AF58" s="37" t="s">
        <v>11</v>
      </c>
      <c r="AG58" s="37" t="s">
        <v>11</v>
      </c>
      <c r="AH58" s="43" t="s">
        <v>11</v>
      </c>
      <c r="AI58" t="str">
        <f>IF(AND(pannello!$U$12&gt;B58,pannello!$U$12&lt;=C58),26,"")</f>
        <v/>
      </c>
    </row>
    <row r="59" spans="1:35" ht="13.8" thickBot="1" x14ac:dyDescent="0.3">
      <c r="A59" s="76">
        <v>27</v>
      </c>
      <c r="B59" s="51">
        <v>560</v>
      </c>
      <c r="C59" s="52">
        <v>630</v>
      </c>
      <c r="D59" s="42" t="s">
        <v>11</v>
      </c>
      <c r="E59" s="37" t="s">
        <v>11</v>
      </c>
      <c r="F59" s="37" t="s">
        <v>11</v>
      </c>
      <c r="G59" s="37" t="s">
        <v>11</v>
      </c>
      <c r="H59" s="37">
        <v>-260</v>
      </c>
      <c r="I59" s="37">
        <v>-145</v>
      </c>
      <c r="J59" s="37" t="s">
        <v>11</v>
      </c>
      <c r="K59" s="37">
        <v>-76</v>
      </c>
      <c r="L59" s="37" t="s">
        <v>11</v>
      </c>
      <c r="M59" s="37">
        <v>-22</v>
      </c>
      <c r="N59" s="37">
        <v>0</v>
      </c>
      <c r="O59" s="40" t="str">
        <f>IF(AI59&lt;&gt;"",(IF(AND(pannello!$AA$12&gt;=7,pannello!$AA$12&lt;=11),ROUNDDOWN($X$26/-2,0),$X$26/2)),"IT/2")</f>
        <v>IT/2</v>
      </c>
      <c r="P59" s="37" t="s">
        <v>11</v>
      </c>
      <c r="Q59" s="37" t="s">
        <v>11</v>
      </c>
      <c r="R59" s="37" t="s">
        <v>11</v>
      </c>
      <c r="S59" s="37">
        <v>0</v>
      </c>
      <c r="T59" s="37">
        <v>0</v>
      </c>
      <c r="U59" s="37">
        <v>26</v>
      </c>
      <c r="V59" s="37">
        <v>44</v>
      </c>
      <c r="W59" s="37">
        <v>78</v>
      </c>
      <c r="X59" s="37">
        <v>155</v>
      </c>
      <c r="Y59" s="37">
        <v>310</v>
      </c>
      <c r="Z59" s="37">
        <v>450</v>
      </c>
      <c r="AA59" s="37">
        <v>660</v>
      </c>
      <c r="AB59" s="37" t="s">
        <v>11</v>
      </c>
      <c r="AC59" s="37" t="s">
        <v>11</v>
      </c>
      <c r="AD59" s="37" t="s">
        <v>11</v>
      </c>
      <c r="AE59" s="37" t="s">
        <v>11</v>
      </c>
      <c r="AF59" s="37" t="s">
        <v>11</v>
      </c>
      <c r="AG59" s="37" t="s">
        <v>11</v>
      </c>
      <c r="AH59" s="43" t="s">
        <v>11</v>
      </c>
      <c r="AI59" t="str">
        <f>IF(AND(pannello!$U$12&gt;B59,pannello!$U$12&lt;=C59),27,"")</f>
        <v/>
      </c>
    </row>
    <row r="60" spans="1:35" ht="13.8" thickBot="1" x14ac:dyDescent="0.3">
      <c r="A60" s="76">
        <v>28</v>
      </c>
      <c r="B60" s="51">
        <v>630</v>
      </c>
      <c r="C60" s="52">
        <v>710</v>
      </c>
      <c r="D60" s="42" t="s">
        <v>11</v>
      </c>
      <c r="E60" s="37" t="s">
        <v>11</v>
      </c>
      <c r="F60" s="37" t="s">
        <v>11</v>
      </c>
      <c r="G60" s="37" t="s">
        <v>11</v>
      </c>
      <c r="H60" s="37">
        <v>-290</v>
      </c>
      <c r="I60" s="37">
        <v>-160</v>
      </c>
      <c r="J60" s="37" t="s">
        <v>11</v>
      </c>
      <c r="K60" s="37">
        <v>-80</v>
      </c>
      <c r="L60" s="37" t="s">
        <v>11</v>
      </c>
      <c r="M60" s="37">
        <v>-24</v>
      </c>
      <c r="N60" s="37">
        <v>0</v>
      </c>
      <c r="O60" s="40" t="str">
        <f>IF(AI60&lt;&gt;"",(IF(AND(pannello!$AA$12&gt;=7,pannello!$AA$12&lt;=11),ROUNDDOWN($X$26/-2,0),$X$26/2)),"IT/2")</f>
        <v>IT/2</v>
      </c>
      <c r="P60" s="37" t="s">
        <v>11</v>
      </c>
      <c r="Q60" s="37" t="s">
        <v>11</v>
      </c>
      <c r="R60" s="37" t="s">
        <v>11</v>
      </c>
      <c r="S60" s="37">
        <v>0</v>
      </c>
      <c r="T60" s="37">
        <v>0</v>
      </c>
      <c r="U60" s="37">
        <v>30</v>
      </c>
      <c r="V60" s="37">
        <v>50</v>
      </c>
      <c r="W60" s="37">
        <v>88</v>
      </c>
      <c r="X60" s="37">
        <v>175</v>
      </c>
      <c r="Y60" s="37">
        <v>340</v>
      </c>
      <c r="Z60" s="37">
        <v>500</v>
      </c>
      <c r="AA60" s="37">
        <v>740</v>
      </c>
      <c r="AB60" s="37" t="s">
        <v>11</v>
      </c>
      <c r="AC60" s="37" t="s">
        <v>11</v>
      </c>
      <c r="AD60" s="37" t="s">
        <v>11</v>
      </c>
      <c r="AE60" s="37" t="s">
        <v>11</v>
      </c>
      <c r="AF60" s="37" t="s">
        <v>11</v>
      </c>
      <c r="AG60" s="37" t="s">
        <v>11</v>
      </c>
      <c r="AH60" s="43" t="s">
        <v>11</v>
      </c>
      <c r="AI60" t="str">
        <f>IF(AND(pannello!$U$12&gt;B60,pannello!$U$12&lt;=C60),28,"")</f>
        <v/>
      </c>
    </row>
    <row r="61" spans="1:35" ht="13.8" thickBot="1" x14ac:dyDescent="0.3">
      <c r="A61" s="76">
        <v>29</v>
      </c>
      <c r="B61" s="51">
        <v>710</v>
      </c>
      <c r="C61" s="52">
        <v>800</v>
      </c>
      <c r="D61" s="42" t="s">
        <v>11</v>
      </c>
      <c r="E61" s="37" t="s">
        <v>11</v>
      </c>
      <c r="F61" s="37" t="s">
        <v>11</v>
      </c>
      <c r="G61" s="37" t="s">
        <v>11</v>
      </c>
      <c r="H61" s="37">
        <v>-290</v>
      </c>
      <c r="I61" s="37">
        <v>-160</v>
      </c>
      <c r="J61" s="37" t="s">
        <v>11</v>
      </c>
      <c r="K61" s="37">
        <v>-80</v>
      </c>
      <c r="L61" s="37" t="s">
        <v>11</v>
      </c>
      <c r="M61" s="37">
        <v>-24</v>
      </c>
      <c r="N61" s="37">
        <v>0</v>
      </c>
      <c r="O61" s="40" t="str">
        <f>IF(AI61&lt;&gt;"",(IF(AND(pannello!$AA$12&gt;=7,pannello!$AA$12&lt;=11),ROUNDDOWN($X$26/-2,0),$X$26/2)),"IT/2")</f>
        <v>IT/2</v>
      </c>
      <c r="P61" s="37" t="s">
        <v>11</v>
      </c>
      <c r="Q61" s="37" t="s">
        <v>11</v>
      </c>
      <c r="R61" s="37" t="s">
        <v>11</v>
      </c>
      <c r="S61" s="37">
        <v>0</v>
      </c>
      <c r="T61" s="37">
        <v>0</v>
      </c>
      <c r="U61" s="37">
        <v>30</v>
      </c>
      <c r="V61" s="37">
        <v>50</v>
      </c>
      <c r="W61" s="37">
        <v>88</v>
      </c>
      <c r="X61" s="37">
        <v>185</v>
      </c>
      <c r="Y61" s="37">
        <v>380</v>
      </c>
      <c r="Z61" s="37">
        <v>560</v>
      </c>
      <c r="AA61" s="37">
        <v>840</v>
      </c>
      <c r="AB61" s="37" t="s">
        <v>11</v>
      </c>
      <c r="AC61" s="37" t="s">
        <v>11</v>
      </c>
      <c r="AD61" s="37" t="s">
        <v>11</v>
      </c>
      <c r="AE61" s="37" t="s">
        <v>11</v>
      </c>
      <c r="AF61" s="37" t="s">
        <v>11</v>
      </c>
      <c r="AG61" s="37" t="s">
        <v>11</v>
      </c>
      <c r="AH61" s="43" t="s">
        <v>11</v>
      </c>
      <c r="AI61" t="str">
        <f>IF(AND(pannello!$U$12&gt;B61,pannello!$U$12&lt;=C61),29,"")</f>
        <v/>
      </c>
    </row>
    <row r="62" spans="1:35" ht="13.8" thickBot="1" x14ac:dyDescent="0.3">
      <c r="A62" s="76">
        <v>30</v>
      </c>
      <c r="B62" s="51">
        <v>800</v>
      </c>
      <c r="C62" s="52">
        <v>900</v>
      </c>
      <c r="D62" s="42" t="s">
        <v>11</v>
      </c>
      <c r="E62" s="37" t="s">
        <v>11</v>
      </c>
      <c r="F62" s="37" t="s">
        <v>11</v>
      </c>
      <c r="G62" s="37" t="s">
        <v>11</v>
      </c>
      <c r="H62" s="37">
        <v>-320</v>
      </c>
      <c r="I62" s="37">
        <v>-170</v>
      </c>
      <c r="J62" s="37" t="s">
        <v>11</v>
      </c>
      <c r="K62" s="37">
        <v>-86</v>
      </c>
      <c r="L62" s="37" t="s">
        <v>11</v>
      </c>
      <c r="M62" s="37">
        <v>-26</v>
      </c>
      <c r="N62" s="37">
        <v>0</v>
      </c>
      <c r="O62" s="40" t="str">
        <f>IF(AI62&lt;&gt;"",(IF(AND(pannello!$AA$12&gt;=7,pannello!$AA$12&lt;=11),ROUNDDOWN($X$26/-2,0),$X$26/2)),"IT/2")</f>
        <v>IT/2</v>
      </c>
      <c r="P62" s="37" t="s">
        <v>11</v>
      </c>
      <c r="Q62" s="37" t="s">
        <v>11</v>
      </c>
      <c r="R62" s="37" t="s">
        <v>11</v>
      </c>
      <c r="S62" s="37">
        <v>0</v>
      </c>
      <c r="T62" s="37">
        <v>0</v>
      </c>
      <c r="U62" s="37">
        <v>34</v>
      </c>
      <c r="V62" s="37">
        <v>56</v>
      </c>
      <c r="W62" s="37">
        <v>100</v>
      </c>
      <c r="X62" s="37">
        <v>210</v>
      </c>
      <c r="Y62" s="37">
        <v>430</v>
      </c>
      <c r="Z62" s="37">
        <v>620</v>
      </c>
      <c r="AA62" s="37">
        <v>940</v>
      </c>
      <c r="AB62" s="37" t="s">
        <v>11</v>
      </c>
      <c r="AC62" s="37" t="s">
        <v>11</v>
      </c>
      <c r="AD62" s="37" t="s">
        <v>11</v>
      </c>
      <c r="AE62" s="37" t="s">
        <v>11</v>
      </c>
      <c r="AF62" s="37" t="s">
        <v>11</v>
      </c>
      <c r="AG62" s="37" t="s">
        <v>11</v>
      </c>
      <c r="AH62" s="43" t="s">
        <v>11</v>
      </c>
      <c r="AI62" t="str">
        <f>IF(AND(pannello!$U$12&gt;B62,pannello!$U$12&lt;=C62),30,"")</f>
        <v/>
      </c>
    </row>
    <row r="63" spans="1:35" ht="13.8" thickBot="1" x14ac:dyDescent="0.3">
      <c r="A63" s="76">
        <v>31</v>
      </c>
      <c r="B63" s="51">
        <v>900</v>
      </c>
      <c r="C63" s="52">
        <v>1000</v>
      </c>
      <c r="D63" s="42" t="s">
        <v>11</v>
      </c>
      <c r="E63" s="37" t="s">
        <v>11</v>
      </c>
      <c r="F63" s="37" t="s">
        <v>11</v>
      </c>
      <c r="G63" s="37" t="s">
        <v>11</v>
      </c>
      <c r="H63" s="37">
        <v>-320</v>
      </c>
      <c r="I63" s="37">
        <v>-170</v>
      </c>
      <c r="J63" s="37" t="s">
        <v>11</v>
      </c>
      <c r="K63" s="37">
        <v>-86</v>
      </c>
      <c r="L63" s="37" t="s">
        <v>11</v>
      </c>
      <c r="M63" s="37">
        <v>-26</v>
      </c>
      <c r="N63" s="37">
        <v>0</v>
      </c>
      <c r="O63" s="40" t="str">
        <f>IF(AI63&lt;&gt;"",(IF(AND(pannello!$AA$12&gt;=7,pannello!$AA$12&lt;=11),ROUNDDOWN($X$26/-2,0),$X$26/2)),"IT/2")</f>
        <v>IT/2</v>
      </c>
      <c r="P63" s="37" t="s">
        <v>11</v>
      </c>
      <c r="Q63" s="37" t="s">
        <v>11</v>
      </c>
      <c r="R63" s="37" t="s">
        <v>11</v>
      </c>
      <c r="S63" s="37">
        <v>0</v>
      </c>
      <c r="T63" s="37">
        <v>0</v>
      </c>
      <c r="U63" s="37">
        <v>34</v>
      </c>
      <c r="V63" s="37">
        <v>56</v>
      </c>
      <c r="W63" s="37">
        <v>100</v>
      </c>
      <c r="X63" s="37">
        <v>220</v>
      </c>
      <c r="Y63" s="37">
        <v>470</v>
      </c>
      <c r="Z63" s="37">
        <v>680</v>
      </c>
      <c r="AA63" s="37">
        <v>1050</v>
      </c>
      <c r="AB63" s="37" t="s">
        <v>11</v>
      </c>
      <c r="AC63" s="37" t="s">
        <v>11</v>
      </c>
      <c r="AD63" s="37" t="s">
        <v>11</v>
      </c>
      <c r="AE63" s="37" t="s">
        <v>11</v>
      </c>
      <c r="AF63" s="37" t="s">
        <v>11</v>
      </c>
      <c r="AG63" s="37" t="s">
        <v>11</v>
      </c>
      <c r="AH63" s="43" t="s">
        <v>11</v>
      </c>
      <c r="AI63" t="str">
        <f>IF(AND(pannello!$U$12&gt;B63,pannello!$U$12&lt;=C63),31,"")</f>
        <v/>
      </c>
    </row>
    <row r="64" spans="1:35" ht="13.8" thickBot="1" x14ac:dyDescent="0.3">
      <c r="A64" s="76">
        <v>32</v>
      </c>
      <c r="B64" s="51">
        <v>1000</v>
      </c>
      <c r="C64" s="52">
        <v>1120</v>
      </c>
      <c r="D64" s="42" t="s">
        <v>11</v>
      </c>
      <c r="E64" s="37" t="s">
        <v>11</v>
      </c>
      <c r="F64" s="37" t="s">
        <v>11</v>
      </c>
      <c r="G64" s="37" t="s">
        <v>11</v>
      </c>
      <c r="H64" s="37">
        <v>-350</v>
      </c>
      <c r="I64" s="37">
        <v>-195</v>
      </c>
      <c r="J64" s="37" t="s">
        <v>11</v>
      </c>
      <c r="K64" s="37">
        <v>-98</v>
      </c>
      <c r="L64" s="37" t="s">
        <v>11</v>
      </c>
      <c r="M64" s="37">
        <v>-28</v>
      </c>
      <c r="N64" s="37">
        <v>0</v>
      </c>
      <c r="O64" s="40" t="str">
        <f>IF(AI64&lt;&gt;"",(IF(AND(pannello!$AA$12&gt;=7,pannello!$AA$12&lt;=11),ROUNDDOWN($X$26/-2,0),$X$26/2)),"IT/2")</f>
        <v>IT/2</v>
      </c>
      <c r="P64" s="37" t="s">
        <v>11</v>
      </c>
      <c r="Q64" s="37" t="s">
        <v>11</v>
      </c>
      <c r="R64" s="37" t="s">
        <v>11</v>
      </c>
      <c r="S64" s="37">
        <v>0</v>
      </c>
      <c r="T64" s="37">
        <v>0</v>
      </c>
      <c r="U64" s="37">
        <v>40</v>
      </c>
      <c r="V64" s="37">
        <v>66</v>
      </c>
      <c r="W64" s="37">
        <v>120</v>
      </c>
      <c r="X64" s="37">
        <v>250</v>
      </c>
      <c r="Y64" s="37">
        <v>520</v>
      </c>
      <c r="Z64" s="37">
        <v>780</v>
      </c>
      <c r="AA64" s="37">
        <v>1150</v>
      </c>
      <c r="AB64" s="37" t="s">
        <v>11</v>
      </c>
      <c r="AC64" s="37" t="s">
        <v>11</v>
      </c>
      <c r="AD64" s="37" t="s">
        <v>11</v>
      </c>
      <c r="AE64" s="37" t="s">
        <v>11</v>
      </c>
      <c r="AF64" s="37" t="s">
        <v>11</v>
      </c>
      <c r="AG64" s="37" t="s">
        <v>11</v>
      </c>
      <c r="AH64" s="43" t="s">
        <v>11</v>
      </c>
      <c r="AI64" t="str">
        <f>IF(AND(pannello!$U$12&gt;B64,pannello!$U$12&lt;=C64),32,"")</f>
        <v/>
      </c>
    </row>
    <row r="65" spans="1:44" ht="13.8" thickBot="1" x14ac:dyDescent="0.3">
      <c r="A65" s="76">
        <v>33</v>
      </c>
      <c r="B65" s="51">
        <v>1120</v>
      </c>
      <c r="C65" s="52">
        <v>1250</v>
      </c>
      <c r="D65" s="42" t="s">
        <v>11</v>
      </c>
      <c r="E65" s="37" t="s">
        <v>11</v>
      </c>
      <c r="F65" s="37" t="s">
        <v>11</v>
      </c>
      <c r="G65" s="37" t="s">
        <v>11</v>
      </c>
      <c r="H65" s="37">
        <v>-350</v>
      </c>
      <c r="I65" s="37">
        <v>-195</v>
      </c>
      <c r="J65" s="37" t="s">
        <v>11</v>
      </c>
      <c r="K65" s="37">
        <v>-98</v>
      </c>
      <c r="L65" s="37" t="s">
        <v>11</v>
      </c>
      <c r="M65" s="37">
        <v>-28</v>
      </c>
      <c r="N65" s="37">
        <v>0</v>
      </c>
      <c r="O65" s="40" t="str">
        <f>IF(AI65&lt;&gt;"",(IF(AND(pannello!$AA$12&gt;=7,pannello!$AA$12&lt;=11),ROUNDDOWN($X$26/-2,0),$X$26/2)),"IT/2")</f>
        <v>IT/2</v>
      </c>
      <c r="P65" s="37" t="s">
        <v>11</v>
      </c>
      <c r="Q65" s="37" t="s">
        <v>11</v>
      </c>
      <c r="R65" s="37" t="s">
        <v>11</v>
      </c>
      <c r="S65" s="37">
        <v>0</v>
      </c>
      <c r="T65" s="37">
        <v>0</v>
      </c>
      <c r="U65" s="37">
        <v>40</v>
      </c>
      <c r="V65" s="37">
        <v>66</v>
      </c>
      <c r="W65" s="37">
        <v>120</v>
      </c>
      <c r="X65" s="37">
        <v>260</v>
      </c>
      <c r="Y65" s="37">
        <v>580</v>
      </c>
      <c r="Z65" s="37">
        <v>840</v>
      </c>
      <c r="AA65" s="37">
        <v>1300</v>
      </c>
      <c r="AB65" s="37" t="s">
        <v>11</v>
      </c>
      <c r="AC65" s="37" t="s">
        <v>11</v>
      </c>
      <c r="AD65" s="37" t="s">
        <v>11</v>
      </c>
      <c r="AE65" s="37" t="s">
        <v>11</v>
      </c>
      <c r="AF65" s="37" t="s">
        <v>11</v>
      </c>
      <c r="AG65" s="37" t="s">
        <v>11</v>
      </c>
      <c r="AH65" s="43" t="s">
        <v>11</v>
      </c>
      <c r="AI65" t="str">
        <f>IF(AND(pannello!$U$12&gt;B65,pannello!$U$12&lt;=C65),33,"")</f>
        <v/>
      </c>
    </row>
    <row r="66" spans="1:44" ht="13.8" thickBot="1" x14ac:dyDescent="0.3">
      <c r="A66" s="76">
        <v>34</v>
      </c>
      <c r="B66" s="51">
        <v>1250</v>
      </c>
      <c r="C66" s="52">
        <v>1400</v>
      </c>
      <c r="D66" s="42" t="s">
        <v>11</v>
      </c>
      <c r="E66" s="37" t="s">
        <v>11</v>
      </c>
      <c r="F66" s="37" t="s">
        <v>11</v>
      </c>
      <c r="G66" s="37" t="s">
        <v>11</v>
      </c>
      <c r="H66" s="37">
        <v>-390</v>
      </c>
      <c r="I66" s="37">
        <v>-220</v>
      </c>
      <c r="J66" s="37" t="s">
        <v>11</v>
      </c>
      <c r="K66" s="37">
        <v>-110</v>
      </c>
      <c r="L66" s="37" t="s">
        <v>11</v>
      </c>
      <c r="M66" s="37">
        <v>-30</v>
      </c>
      <c r="N66" s="37">
        <v>0</v>
      </c>
      <c r="O66" s="40" t="str">
        <f>IF(AI66&lt;&gt;"",(IF(AND(pannello!$AA$12&gt;=7,pannello!$AA$12&lt;=11),ROUNDDOWN($X$26/-2,0),$X$26/2)),"IT/2")</f>
        <v>IT/2</v>
      </c>
      <c r="P66" s="37" t="s">
        <v>11</v>
      </c>
      <c r="Q66" s="37" t="s">
        <v>11</v>
      </c>
      <c r="R66" s="37" t="s">
        <v>11</v>
      </c>
      <c r="S66" s="37">
        <v>0</v>
      </c>
      <c r="T66" s="37">
        <v>0</v>
      </c>
      <c r="U66" s="37">
        <v>48</v>
      </c>
      <c r="V66" s="37">
        <v>78</v>
      </c>
      <c r="W66" s="37">
        <v>140</v>
      </c>
      <c r="X66" s="37">
        <v>300</v>
      </c>
      <c r="Y66" s="37">
        <v>640</v>
      </c>
      <c r="Z66" s="37">
        <v>960</v>
      </c>
      <c r="AA66" s="37">
        <v>1450</v>
      </c>
      <c r="AB66" s="37" t="s">
        <v>11</v>
      </c>
      <c r="AC66" s="37" t="s">
        <v>11</v>
      </c>
      <c r="AD66" s="37" t="s">
        <v>11</v>
      </c>
      <c r="AE66" s="37" t="s">
        <v>11</v>
      </c>
      <c r="AF66" s="37" t="s">
        <v>11</v>
      </c>
      <c r="AG66" s="37" t="s">
        <v>11</v>
      </c>
      <c r="AH66" s="43" t="s">
        <v>11</v>
      </c>
      <c r="AI66" t="str">
        <f>IF(AND(pannello!$U$12&gt;B66,pannello!$U$12&lt;=C66),34,"")</f>
        <v/>
      </c>
    </row>
    <row r="67" spans="1:44" ht="13.8" thickBot="1" x14ac:dyDescent="0.3">
      <c r="A67" s="76">
        <v>35</v>
      </c>
      <c r="B67" s="51">
        <v>1400</v>
      </c>
      <c r="C67" s="52">
        <v>1600</v>
      </c>
      <c r="D67" s="42" t="s">
        <v>11</v>
      </c>
      <c r="E67" s="37" t="s">
        <v>11</v>
      </c>
      <c r="F67" s="37" t="s">
        <v>11</v>
      </c>
      <c r="G67" s="37" t="s">
        <v>11</v>
      </c>
      <c r="H67" s="37">
        <v>-390</v>
      </c>
      <c r="I67" s="37">
        <v>-220</v>
      </c>
      <c r="J67" s="37" t="s">
        <v>11</v>
      </c>
      <c r="K67" s="37">
        <v>-110</v>
      </c>
      <c r="L67" s="37" t="s">
        <v>11</v>
      </c>
      <c r="M67" s="37">
        <v>-30</v>
      </c>
      <c r="N67" s="37">
        <v>0</v>
      </c>
      <c r="O67" s="40" t="str">
        <f>IF(AI67&lt;&gt;"",(IF(AND(pannello!$AA$12&gt;=7,pannello!$AA$12&lt;=11),ROUNDDOWN($X$26/-2,0),$X$26/2)),"IT/2")</f>
        <v>IT/2</v>
      </c>
      <c r="P67" s="37" t="s">
        <v>11</v>
      </c>
      <c r="Q67" s="37" t="s">
        <v>11</v>
      </c>
      <c r="R67" s="37" t="s">
        <v>11</v>
      </c>
      <c r="S67" s="37">
        <v>0</v>
      </c>
      <c r="T67" s="37">
        <v>0</v>
      </c>
      <c r="U67" s="37">
        <v>48</v>
      </c>
      <c r="V67" s="37">
        <v>78</v>
      </c>
      <c r="W67" s="37">
        <v>140</v>
      </c>
      <c r="X67" s="37">
        <v>330</v>
      </c>
      <c r="Y67" s="37">
        <v>720</v>
      </c>
      <c r="Z67" s="37">
        <v>1050</v>
      </c>
      <c r="AA67" s="37">
        <v>1600</v>
      </c>
      <c r="AB67" s="37" t="s">
        <v>11</v>
      </c>
      <c r="AC67" s="37" t="s">
        <v>11</v>
      </c>
      <c r="AD67" s="37" t="s">
        <v>11</v>
      </c>
      <c r="AE67" s="37" t="s">
        <v>11</v>
      </c>
      <c r="AF67" s="37" t="s">
        <v>11</v>
      </c>
      <c r="AG67" s="37" t="s">
        <v>11</v>
      </c>
      <c r="AH67" s="43" t="s">
        <v>11</v>
      </c>
      <c r="AI67" t="str">
        <f>IF(AND(pannello!$U$12&gt;B67,pannello!$U$12&lt;=C67),35,"")</f>
        <v/>
      </c>
    </row>
    <row r="68" spans="1:44" ht="13.8" thickBot="1" x14ac:dyDescent="0.3">
      <c r="A68" s="76">
        <v>36</v>
      </c>
      <c r="B68" s="51">
        <v>1600</v>
      </c>
      <c r="C68" s="52">
        <v>1800</v>
      </c>
      <c r="D68" s="42" t="s">
        <v>11</v>
      </c>
      <c r="E68" s="37" t="s">
        <v>11</v>
      </c>
      <c r="F68" s="37" t="s">
        <v>11</v>
      </c>
      <c r="G68" s="37" t="s">
        <v>11</v>
      </c>
      <c r="H68" s="37">
        <v>-430</v>
      </c>
      <c r="I68" s="37">
        <v>-240</v>
      </c>
      <c r="J68" s="37" t="s">
        <v>11</v>
      </c>
      <c r="K68" s="37">
        <v>-120</v>
      </c>
      <c r="L68" s="37" t="s">
        <v>11</v>
      </c>
      <c r="M68" s="37">
        <v>-32</v>
      </c>
      <c r="N68" s="37">
        <v>0</v>
      </c>
      <c r="O68" s="40" t="str">
        <f>IF(AI68&lt;&gt;"",(IF(AND(pannello!$AA$12&gt;=7,pannello!$AA$12&lt;=11),ROUNDDOWN($X$26/-2,0),$X$26/2)),"IT/2")</f>
        <v>IT/2</v>
      </c>
      <c r="P68" s="37" t="s">
        <v>11</v>
      </c>
      <c r="Q68" s="37" t="s">
        <v>11</v>
      </c>
      <c r="R68" s="37" t="s">
        <v>11</v>
      </c>
      <c r="S68" s="37">
        <v>0</v>
      </c>
      <c r="T68" s="37">
        <v>0</v>
      </c>
      <c r="U68" s="37">
        <v>58</v>
      </c>
      <c r="V68" s="37">
        <v>92</v>
      </c>
      <c r="W68" s="37">
        <v>170</v>
      </c>
      <c r="X68" s="37">
        <v>370</v>
      </c>
      <c r="Y68" s="37">
        <v>820</v>
      </c>
      <c r="Z68" s="37">
        <v>1200</v>
      </c>
      <c r="AA68" s="37">
        <v>1850</v>
      </c>
      <c r="AB68" s="37" t="s">
        <v>11</v>
      </c>
      <c r="AC68" s="37" t="s">
        <v>11</v>
      </c>
      <c r="AD68" s="37" t="s">
        <v>11</v>
      </c>
      <c r="AE68" s="37" t="s">
        <v>11</v>
      </c>
      <c r="AF68" s="37" t="s">
        <v>11</v>
      </c>
      <c r="AG68" s="37" t="s">
        <v>11</v>
      </c>
      <c r="AH68" s="43" t="s">
        <v>11</v>
      </c>
      <c r="AI68" t="str">
        <f>IF(AND(pannello!$U$12&gt;B68,pannello!$U$12&lt;=C68),36,"")</f>
        <v/>
      </c>
    </row>
    <row r="69" spans="1:44" ht="13.8" thickBot="1" x14ac:dyDescent="0.3">
      <c r="A69" s="76">
        <v>37</v>
      </c>
      <c r="B69" s="51">
        <v>1800</v>
      </c>
      <c r="C69" s="52">
        <v>2000</v>
      </c>
      <c r="D69" s="42" t="s">
        <v>11</v>
      </c>
      <c r="E69" s="37" t="s">
        <v>11</v>
      </c>
      <c r="F69" s="37" t="s">
        <v>11</v>
      </c>
      <c r="G69" s="37" t="s">
        <v>11</v>
      </c>
      <c r="H69" s="37">
        <v>-430</v>
      </c>
      <c r="I69" s="37">
        <v>-240</v>
      </c>
      <c r="J69" s="37" t="s">
        <v>11</v>
      </c>
      <c r="K69" s="37">
        <v>-120</v>
      </c>
      <c r="L69" s="37" t="s">
        <v>11</v>
      </c>
      <c r="M69" s="37">
        <v>-32</v>
      </c>
      <c r="N69" s="37">
        <v>0</v>
      </c>
      <c r="O69" s="40" t="str">
        <f>IF(AI69&lt;&gt;"",(IF(AND(pannello!$AA$12&gt;=7,pannello!$AA$12&lt;=11),ROUNDDOWN($X$26/-2,0),$X$26/2)),"IT/2")</f>
        <v>IT/2</v>
      </c>
      <c r="P69" s="37" t="s">
        <v>11</v>
      </c>
      <c r="Q69" s="37" t="s">
        <v>11</v>
      </c>
      <c r="R69" s="37" t="s">
        <v>11</v>
      </c>
      <c r="S69" s="37">
        <v>0</v>
      </c>
      <c r="T69" s="37">
        <v>0</v>
      </c>
      <c r="U69" s="37">
        <v>58</v>
      </c>
      <c r="V69" s="37">
        <v>92</v>
      </c>
      <c r="W69" s="37">
        <v>170</v>
      </c>
      <c r="X69" s="37">
        <v>400</v>
      </c>
      <c r="Y69" s="37">
        <v>920</v>
      </c>
      <c r="Z69" s="37">
        <v>1350</v>
      </c>
      <c r="AA69" s="37">
        <v>2000</v>
      </c>
      <c r="AB69" s="37" t="s">
        <v>11</v>
      </c>
      <c r="AC69" s="37" t="s">
        <v>11</v>
      </c>
      <c r="AD69" s="37" t="s">
        <v>11</v>
      </c>
      <c r="AE69" s="37" t="s">
        <v>11</v>
      </c>
      <c r="AF69" s="37" t="s">
        <v>11</v>
      </c>
      <c r="AG69" s="37" t="s">
        <v>11</v>
      </c>
      <c r="AH69" s="43" t="s">
        <v>11</v>
      </c>
      <c r="AI69" t="str">
        <f>IF(AND(pannello!$U$12&gt;B69,pannello!$U$12&lt;=C69),37,"")</f>
        <v/>
      </c>
    </row>
    <row r="70" spans="1:44" ht="13.8" thickBot="1" x14ac:dyDescent="0.3">
      <c r="A70" s="76">
        <v>38</v>
      </c>
      <c r="B70" s="51">
        <v>2000</v>
      </c>
      <c r="C70" s="52">
        <v>2240</v>
      </c>
      <c r="D70" s="42" t="s">
        <v>11</v>
      </c>
      <c r="E70" s="37" t="s">
        <v>11</v>
      </c>
      <c r="F70" s="37" t="s">
        <v>11</v>
      </c>
      <c r="G70" s="37" t="s">
        <v>11</v>
      </c>
      <c r="H70" s="37">
        <v>-480</v>
      </c>
      <c r="I70" s="37">
        <v>-260</v>
      </c>
      <c r="J70" s="37" t="s">
        <v>11</v>
      </c>
      <c r="K70" s="37">
        <v>-130</v>
      </c>
      <c r="L70" s="37" t="s">
        <v>11</v>
      </c>
      <c r="M70" s="37">
        <v>-34</v>
      </c>
      <c r="N70" s="37">
        <v>0</v>
      </c>
      <c r="O70" s="40" t="str">
        <f>IF(AI70&lt;&gt;"",(IF(AND(pannello!$AA$12&gt;=7,pannello!$AA$12&lt;=11),ROUNDDOWN($X$26/-2,0),$X$26/2)),"IT/2")</f>
        <v>IT/2</v>
      </c>
      <c r="P70" s="37" t="s">
        <v>11</v>
      </c>
      <c r="Q70" s="37" t="s">
        <v>11</v>
      </c>
      <c r="R70" s="37" t="s">
        <v>11</v>
      </c>
      <c r="S70" s="37">
        <v>0</v>
      </c>
      <c r="T70" s="37">
        <v>0</v>
      </c>
      <c r="U70" s="37">
        <v>68</v>
      </c>
      <c r="V70" s="37">
        <v>110</v>
      </c>
      <c r="W70" s="37">
        <v>195</v>
      </c>
      <c r="X70" s="37">
        <v>440</v>
      </c>
      <c r="Y70" s="37">
        <v>1000</v>
      </c>
      <c r="Z70" s="37">
        <v>1500</v>
      </c>
      <c r="AA70" s="37">
        <v>2300</v>
      </c>
      <c r="AB70" s="37" t="s">
        <v>11</v>
      </c>
      <c r="AC70" s="37" t="s">
        <v>11</v>
      </c>
      <c r="AD70" s="37" t="s">
        <v>11</v>
      </c>
      <c r="AE70" s="37" t="s">
        <v>11</v>
      </c>
      <c r="AF70" s="37" t="s">
        <v>11</v>
      </c>
      <c r="AG70" s="37" t="s">
        <v>11</v>
      </c>
      <c r="AH70" s="43" t="s">
        <v>11</v>
      </c>
      <c r="AI70" t="str">
        <f>IF(AND(pannello!$U$12&gt;B70,pannello!$U$12&lt;=C70),38,"")</f>
        <v/>
      </c>
    </row>
    <row r="71" spans="1:44" ht="13.8" thickBot="1" x14ac:dyDescent="0.3">
      <c r="A71" s="76">
        <v>39</v>
      </c>
      <c r="B71" s="51">
        <v>2240</v>
      </c>
      <c r="C71" s="52">
        <v>2500</v>
      </c>
      <c r="D71" s="42" t="s">
        <v>11</v>
      </c>
      <c r="E71" s="37" t="s">
        <v>11</v>
      </c>
      <c r="F71" s="37" t="s">
        <v>11</v>
      </c>
      <c r="G71" s="37" t="s">
        <v>11</v>
      </c>
      <c r="H71" s="37">
        <v>-480</v>
      </c>
      <c r="I71" s="37">
        <v>-260</v>
      </c>
      <c r="J71" s="37" t="s">
        <v>11</v>
      </c>
      <c r="K71" s="37">
        <v>-130</v>
      </c>
      <c r="L71" s="37" t="s">
        <v>11</v>
      </c>
      <c r="M71" s="37">
        <v>-34</v>
      </c>
      <c r="N71" s="37">
        <v>0</v>
      </c>
      <c r="O71" s="40" t="str">
        <f>IF(AI71&lt;&gt;"",(IF(AND(pannello!$AA$12&gt;=7,pannello!$AA$12&lt;=11),ROUNDDOWN($X$26/-2,0),$X$26/2)),"IT/2")</f>
        <v>IT/2</v>
      </c>
      <c r="P71" s="37" t="s">
        <v>11</v>
      </c>
      <c r="Q71" s="37" t="s">
        <v>11</v>
      </c>
      <c r="R71" s="37" t="s">
        <v>11</v>
      </c>
      <c r="S71" s="37">
        <v>0</v>
      </c>
      <c r="T71" s="37">
        <v>0</v>
      </c>
      <c r="U71" s="37">
        <v>68</v>
      </c>
      <c r="V71" s="37">
        <v>110</v>
      </c>
      <c r="W71" s="37">
        <v>195</v>
      </c>
      <c r="X71" s="37">
        <v>460</v>
      </c>
      <c r="Y71" s="37">
        <v>1100</v>
      </c>
      <c r="Z71" s="37">
        <v>1650</v>
      </c>
      <c r="AA71" s="37">
        <v>2500</v>
      </c>
      <c r="AB71" s="37" t="s">
        <v>11</v>
      </c>
      <c r="AC71" s="37" t="s">
        <v>11</v>
      </c>
      <c r="AD71" s="37" t="s">
        <v>11</v>
      </c>
      <c r="AE71" s="37" t="s">
        <v>11</v>
      </c>
      <c r="AF71" s="37" t="s">
        <v>11</v>
      </c>
      <c r="AG71" s="37" t="s">
        <v>11</v>
      </c>
      <c r="AH71" s="43" t="s">
        <v>11</v>
      </c>
      <c r="AI71" t="str">
        <f>IF(AND(pannello!$U$12&gt;B71,pannello!$U$12&lt;=C71),39,"")</f>
        <v/>
      </c>
    </row>
    <row r="72" spans="1:44" ht="13.8" thickBot="1" x14ac:dyDescent="0.3">
      <c r="A72" s="76">
        <v>40</v>
      </c>
      <c r="B72" s="51">
        <v>2500</v>
      </c>
      <c r="C72" s="52">
        <v>2800</v>
      </c>
      <c r="D72" s="42" t="s">
        <v>11</v>
      </c>
      <c r="E72" s="37" t="s">
        <v>11</v>
      </c>
      <c r="F72" s="37" t="s">
        <v>11</v>
      </c>
      <c r="G72" s="37" t="s">
        <v>11</v>
      </c>
      <c r="H72" s="37">
        <v>-520</v>
      </c>
      <c r="I72" s="37">
        <v>-290</v>
      </c>
      <c r="J72" s="37" t="s">
        <v>11</v>
      </c>
      <c r="K72" s="37">
        <v>-145</v>
      </c>
      <c r="L72" s="37" t="s">
        <v>11</v>
      </c>
      <c r="M72" s="37">
        <v>-38</v>
      </c>
      <c r="N72" s="37">
        <v>0</v>
      </c>
      <c r="O72" s="40" t="str">
        <f>IF(AI72&lt;&gt;"",(IF(AND(pannello!$AA$12&gt;=7,pannello!$AA$12&lt;=11),ROUNDDOWN($X$26/-2,0),$X$26/2)),"IT/2")</f>
        <v>IT/2</v>
      </c>
      <c r="P72" s="37" t="s">
        <v>11</v>
      </c>
      <c r="Q72" s="37" t="s">
        <v>11</v>
      </c>
      <c r="R72" s="37" t="s">
        <v>11</v>
      </c>
      <c r="S72" s="37">
        <v>0</v>
      </c>
      <c r="T72" s="37">
        <v>0</v>
      </c>
      <c r="U72" s="37">
        <v>76</v>
      </c>
      <c r="V72" s="37">
        <v>135</v>
      </c>
      <c r="W72" s="37">
        <v>240</v>
      </c>
      <c r="X72" s="37">
        <v>550</v>
      </c>
      <c r="Y72" s="37">
        <v>1250</v>
      </c>
      <c r="Z72" s="37">
        <v>1900</v>
      </c>
      <c r="AA72" s="37">
        <v>2900</v>
      </c>
      <c r="AB72" s="37" t="s">
        <v>11</v>
      </c>
      <c r="AC72" s="37" t="s">
        <v>11</v>
      </c>
      <c r="AD72" s="37" t="s">
        <v>11</v>
      </c>
      <c r="AE72" s="37" t="s">
        <v>11</v>
      </c>
      <c r="AF72" s="37" t="s">
        <v>11</v>
      </c>
      <c r="AG72" s="37" t="s">
        <v>11</v>
      </c>
      <c r="AH72" s="43" t="s">
        <v>11</v>
      </c>
      <c r="AI72" t="str">
        <f>IF(AND(pannello!$U$12&gt;B72,pannello!$U$12&lt;=C72),40,"")</f>
        <v/>
      </c>
    </row>
    <row r="73" spans="1:44" ht="13.8" thickBot="1" x14ac:dyDescent="0.3">
      <c r="A73" s="76">
        <v>41</v>
      </c>
      <c r="B73" s="53">
        <v>2800</v>
      </c>
      <c r="C73" s="54">
        <v>3150</v>
      </c>
      <c r="D73" s="44" t="s">
        <v>11</v>
      </c>
      <c r="E73" s="45" t="s">
        <v>11</v>
      </c>
      <c r="F73" s="45" t="s">
        <v>11</v>
      </c>
      <c r="G73" s="45" t="s">
        <v>11</v>
      </c>
      <c r="H73" s="45">
        <v>-520</v>
      </c>
      <c r="I73" s="45">
        <v>-290</v>
      </c>
      <c r="J73" s="45" t="s">
        <v>11</v>
      </c>
      <c r="K73" s="45">
        <v>-145</v>
      </c>
      <c r="L73" s="45" t="s">
        <v>11</v>
      </c>
      <c r="M73" s="45">
        <v>-38</v>
      </c>
      <c r="N73" s="45">
        <v>0</v>
      </c>
      <c r="O73" s="61" t="str">
        <f>IF(AI73&lt;&gt;"",(IF(AND(pannello!$AA$12&gt;=7,pannello!$AA$12&lt;=11),ROUNDDOWN($X$26/-2,0),$X$26/2)),"IT/2")</f>
        <v>IT/2</v>
      </c>
      <c r="P73" s="45" t="s">
        <v>11</v>
      </c>
      <c r="Q73" s="45" t="s">
        <v>11</v>
      </c>
      <c r="R73" s="45" t="s">
        <v>11</v>
      </c>
      <c r="S73" s="45">
        <v>0</v>
      </c>
      <c r="T73" s="45">
        <v>0</v>
      </c>
      <c r="U73" s="45">
        <v>76</v>
      </c>
      <c r="V73" s="45">
        <v>135</v>
      </c>
      <c r="W73" s="45">
        <v>240</v>
      </c>
      <c r="X73" s="45">
        <v>580</v>
      </c>
      <c r="Y73" s="45">
        <v>1400</v>
      </c>
      <c r="Z73" s="45">
        <v>2100</v>
      </c>
      <c r="AA73" s="45">
        <v>3200</v>
      </c>
      <c r="AB73" s="45" t="s">
        <v>11</v>
      </c>
      <c r="AC73" s="45" t="s">
        <v>11</v>
      </c>
      <c r="AD73" s="45" t="s">
        <v>11</v>
      </c>
      <c r="AE73" s="45" t="s">
        <v>11</v>
      </c>
      <c r="AF73" s="45" t="s">
        <v>11</v>
      </c>
      <c r="AG73" s="45" t="s">
        <v>11</v>
      </c>
      <c r="AH73" s="46" t="s">
        <v>11</v>
      </c>
      <c r="AI73" t="str">
        <f>IF(AND(pannello!$U$12&gt;B73,pannello!$U$12&lt;=C73),41,"")</f>
        <v/>
      </c>
    </row>
    <row r="74" spans="1:44" x14ac:dyDescent="0.25">
      <c r="D74" s="21" t="str">
        <f>IF(pannello!$Z$12=dati!D31,D29,"")</f>
        <v/>
      </c>
      <c r="E74" s="21" t="str">
        <f>IF(pannello!$Z$12=dati!E31,E29,"")</f>
        <v/>
      </c>
      <c r="F74" s="21" t="str">
        <f>IF(pannello!$Z$12=dati!F31,F29,"")</f>
        <v/>
      </c>
      <c r="G74" s="21" t="str">
        <f>IF(pannello!$Z$12=dati!G31,G29,"")</f>
        <v/>
      </c>
      <c r="H74" s="21" t="str">
        <f>IF(pannello!$Z$12=dati!H31,H29,"")</f>
        <v/>
      </c>
      <c r="I74" s="21" t="str">
        <f>IF(pannello!$Z$12=dati!I31,I29,"")</f>
        <v/>
      </c>
      <c r="J74" s="21" t="str">
        <f>IF(pannello!$Z$12=dati!J31,J29,"")</f>
        <v/>
      </c>
      <c r="K74" s="21" t="str">
        <f>IF(pannello!$Z$12=dati!K31,K29,"")</f>
        <v/>
      </c>
      <c r="L74" s="21" t="str">
        <f>IF(pannello!$Z$12=dati!L31,L29,"")</f>
        <v/>
      </c>
      <c r="M74" s="21" t="str">
        <f>IF(pannello!$Z$12=dati!M31,M29,"")</f>
        <v/>
      </c>
      <c r="N74" s="21">
        <f>IF(pannello!$Z$12=dati!N31,N29,"")</f>
        <v>11</v>
      </c>
      <c r="O74" s="21" t="str">
        <f>IF(pannello!$Z$12=dati!O31,O29,"")</f>
        <v/>
      </c>
      <c r="P74" s="21" t="str">
        <f>IF(AND(pannello!$Z$12=P31,OR(pannello!$AA$12=5,pannello!$AA$12=6)),P29,"")</f>
        <v/>
      </c>
      <c r="Q74" s="21" t="str">
        <f>IF(AND(pannello!$Z$12=Q31,pannello!$AA$12=Q32),Q29,"")</f>
        <v/>
      </c>
      <c r="R74" s="21" t="str">
        <f>IF(AND(pannello!$Z$12=R31,pannello!$AA$12=R32),R29,"")</f>
        <v/>
      </c>
      <c r="S74" s="21" t="str">
        <f>IF(AND(pannello!$Z$12=S31,AND(pannello!$AA$12&gt;=4,pannello!$AA$12&lt;=7)),S29,"")</f>
        <v/>
      </c>
      <c r="T74" s="21" t="str">
        <f>IF(AND(pannello!$Z$12=T31,OR(pannello!$AA$12&lt;4,pannello!$AA$12&gt;7)),T29,"")</f>
        <v/>
      </c>
      <c r="U74" s="21" t="str">
        <f>IF(pannello!$Z$12=dati!U31,U29,"")</f>
        <v/>
      </c>
      <c r="V74" s="21" t="str">
        <f>IF(pannello!$Z$12=dati!V31,V29,"")</f>
        <v/>
      </c>
      <c r="W74" s="21" t="str">
        <f>IF(pannello!$Z$12=dati!W31,W29,"")</f>
        <v/>
      </c>
      <c r="X74" s="21" t="str">
        <f>IF(pannello!$Z$12=dati!X31,X29,"")</f>
        <v/>
      </c>
      <c r="Y74" s="21" t="str">
        <f>IF(pannello!$Z$12=dati!Y31,Y29,"")</f>
        <v/>
      </c>
      <c r="Z74" s="21" t="str">
        <f>IF(pannello!$Z$12=dati!Z31,Z29,"")</f>
        <v/>
      </c>
      <c r="AA74" s="21" t="str">
        <f>IF(pannello!$Z$12=dati!AA31,AA29,"")</f>
        <v/>
      </c>
      <c r="AB74" s="21" t="str">
        <f>IF(pannello!$Z$12=dati!AB31,AB29,"")</f>
        <v/>
      </c>
      <c r="AC74" s="21" t="str">
        <f>IF(pannello!$Z$12=dati!AC31,AC29,"")</f>
        <v/>
      </c>
      <c r="AD74" s="21" t="str">
        <f>IF(pannello!$Z$12=dati!AD31,AD29,"")</f>
        <v/>
      </c>
      <c r="AE74" s="21" t="str">
        <f>IF(pannello!$Z$12=dati!AE31,AE29,"")</f>
        <v/>
      </c>
      <c r="AF74" s="21" t="str">
        <f>IF(pannello!$Z$12=dati!AF31,AF29,"")</f>
        <v/>
      </c>
      <c r="AG74" s="21" t="str">
        <f>IF(pannello!$Z$12=dati!AG31,AG29,"")</f>
        <v/>
      </c>
      <c r="AH74" s="21" t="str">
        <f>IF(pannello!$Z$12=dati!AH31,AH29,"")</f>
        <v/>
      </c>
      <c r="AI74" s="21">
        <f>SUM(AI33:AI73)</f>
        <v>19</v>
      </c>
      <c r="AJ74" s="21">
        <f>SUM(D74:AH74)</f>
        <v>11</v>
      </c>
      <c r="AK74" s="21">
        <f>IF(AJ74&gt;0,INDEX(alberi,AI74,AJ74),0)</f>
        <v>0</v>
      </c>
      <c r="AL74" s="21"/>
    </row>
    <row r="79" spans="1:44" ht="13.8" thickBot="1" x14ac:dyDescent="0.3">
      <c r="D79" s="21">
        <v>1</v>
      </c>
      <c r="E79" s="21">
        <v>2</v>
      </c>
      <c r="F79" s="21">
        <v>3</v>
      </c>
      <c r="G79" s="21">
        <v>4</v>
      </c>
      <c r="H79" s="21">
        <v>5</v>
      </c>
      <c r="I79" s="21">
        <v>6</v>
      </c>
      <c r="J79" s="21">
        <v>7</v>
      </c>
      <c r="K79" s="21">
        <v>8</v>
      </c>
      <c r="L79" s="21">
        <v>9</v>
      </c>
      <c r="M79" s="21">
        <v>10</v>
      </c>
      <c r="N79" s="21">
        <v>11</v>
      </c>
      <c r="O79" s="21">
        <v>12</v>
      </c>
      <c r="P79" s="21">
        <v>13</v>
      </c>
      <c r="Q79" s="21">
        <v>14</v>
      </c>
      <c r="R79" s="21">
        <v>15</v>
      </c>
      <c r="S79" s="21">
        <v>16</v>
      </c>
      <c r="T79" s="21">
        <v>17</v>
      </c>
      <c r="U79" s="21">
        <v>18</v>
      </c>
      <c r="V79" s="21">
        <v>19</v>
      </c>
      <c r="W79" s="21">
        <v>20</v>
      </c>
      <c r="X79" s="21">
        <v>21</v>
      </c>
      <c r="Y79" s="21">
        <v>22</v>
      </c>
      <c r="Z79" s="21">
        <v>23</v>
      </c>
      <c r="AA79" s="21">
        <v>24</v>
      </c>
      <c r="AB79" s="21">
        <v>25</v>
      </c>
      <c r="AC79" s="21">
        <v>26</v>
      </c>
      <c r="AD79" s="21">
        <v>27</v>
      </c>
      <c r="AE79" s="21">
        <v>28</v>
      </c>
      <c r="AF79" s="21">
        <v>29</v>
      </c>
      <c r="AG79" s="21">
        <v>30</v>
      </c>
      <c r="AH79" s="21">
        <v>31</v>
      </c>
      <c r="AI79" s="21">
        <v>32</v>
      </c>
      <c r="AJ79" s="21">
        <v>33</v>
      </c>
      <c r="AM79" s="21">
        <v>1</v>
      </c>
      <c r="AN79" s="21">
        <v>2</v>
      </c>
      <c r="AO79" s="21">
        <v>3</v>
      </c>
      <c r="AP79" s="21">
        <v>4</v>
      </c>
      <c r="AQ79" s="21">
        <v>5</v>
      </c>
      <c r="AR79" s="21">
        <v>6</v>
      </c>
    </row>
    <row r="80" spans="1:44" ht="13.8" thickTop="1" x14ac:dyDescent="0.25">
      <c r="B80" s="428" t="s">
        <v>70</v>
      </c>
      <c r="C80" s="8" t="s">
        <v>71</v>
      </c>
      <c r="D80" s="432" t="s">
        <v>72</v>
      </c>
      <c r="E80" s="426"/>
      <c r="F80" s="426"/>
      <c r="G80" s="426"/>
      <c r="H80" s="426"/>
      <c r="I80" s="426"/>
      <c r="J80" s="426"/>
      <c r="K80" s="426"/>
      <c r="L80" s="426"/>
      <c r="M80" s="426"/>
      <c r="N80" s="433"/>
      <c r="O80" s="432" t="s">
        <v>73</v>
      </c>
      <c r="P80" s="426"/>
      <c r="Q80" s="426"/>
      <c r="R80" s="426"/>
      <c r="S80" s="426"/>
      <c r="T80" s="427"/>
      <c r="U80" s="426"/>
      <c r="V80" s="426"/>
      <c r="W80" s="426"/>
      <c r="X80" s="426"/>
      <c r="Y80" s="426"/>
      <c r="Z80" s="426"/>
      <c r="AA80" s="426"/>
      <c r="AB80" s="426"/>
      <c r="AC80" s="426"/>
      <c r="AD80" s="426"/>
      <c r="AE80" s="426"/>
      <c r="AF80" s="426"/>
      <c r="AG80" s="426"/>
      <c r="AH80" s="426"/>
      <c r="AI80" s="426"/>
      <c r="AJ80" s="427"/>
      <c r="AK80" s="77"/>
      <c r="AL80" s="79"/>
      <c r="AM80" s="438" t="s">
        <v>80</v>
      </c>
      <c r="AN80" s="439"/>
      <c r="AO80" s="439"/>
      <c r="AP80" s="439"/>
      <c r="AQ80" s="439"/>
      <c r="AR80" s="440"/>
    </row>
    <row r="81" spans="1:50" x14ac:dyDescent="0.25">
      <c r="B81" s="429"/>
      <c r="C81" s="6" t="s">
        <v>74</v>
      </c>
      <c r="D81" s="2" t="s">
        <v>42</v>
      </c>
      <c r="E81" s="2" t="s">
        <v>43</v>
      </c>
      <c r="F81" s="2" t="s">
        <v>44</v>
      </c>
      <c r="G81" s="2" t="s">
        <v>45</v>
      </c>
      <c r="H81" s="2" t="s">
        <v>46</v>
      </c>
      <c r="I81" s="2" t="s">
        <v>47</v>
      </c>
      <c r="J81" s="2" t="s">
        <v>48</v>
      </c>
      <c r="K81" s="2" t="s">
        <v>49</v>
      </c>
      <c r="L81" s="2" t="s">
        <v>50</v>
      </c>
      <c r="M81" s="2" t="s">
        <v>51</v>
      </c>
      <c r="N81" s="2" t="s">
        <v>52</v>
      </c>
      <c r="O81" s="2" t="s">
        <v>54</v>
      </c>
      <c r="P81" s="2" t="s">
        <v>53</v>
      </c>
      <c r="Q81" s="2" t="s">
        <v>53</v>
      </c>
      <c r="R81" s="2" t="s">
        <v>53</v>
      </c>
      <c r="S81" s="2" t="s">
        <v>55</v>
      </c>
      <c r="T81" s="4" t="s">
        <v>55</v>
      </c>
      <c r="U81" s="2" t="s">
        <v>56</v>
      </c>
      <c r="V81" s="2" t="s">
        <v>56</v>
      </c>
      <c r="W81" s="2" t="s">
        <v>57</v>
      </c>
      <c r="X81" s="2" t="s">
        <v>57</v>
      </c>
      <c r="Y81" s="2" t="s">
        <v>58</v>
      </c>
      <c r="Z81" s="2" t="s">
        <v>59</v>
      </c>
      <c r="AA81" s="2" t="s">
        <v>60</v>
      </c>
      <c r="AB81" s="2" t="s">
        <v>61</v>
      </c>
      <c r="AC81" s="2" t="s">
        <v>62</v>
      </c>
      <c r="AD81" s="2" t="s">
        <v>63</v>
      </c>
      <c r="AE81" s="2" t="s">
        <v>64</v>
      </c>
      <c r="AF81" s="2" t="s">
        <v>65</v>
      </c>
      <c r="AG81" s="2" t="s">
        <v>66</v>
      </c>
      <c r="AH81" s="2" t="s">
        <v>67</v>
      </c>
      <c r="AI81" s="2" t="s">
        <v>68</v>
      </c>
      <c r="AJ81" s="4" t="s">
        <v>69</v>
      </c>
      <c r="AK81" s="77"/>
      <c r="AL81" s="79"/>
      <c r="AM81" s="81"/>
      <c r="AN81" s="2"/>
      <c r="AO81" s="2"/>
      <c r="AP81" s="2"/>
      <c r="AQ81" s="2"/>
      <c r="AR81" s="82"/>
    </row>
    <row r="82" spans="1:50" x14ac:dyDescent="0.25">
      <c r="B82" s="7"/>
      <c r="C82" s="6"/>
      <c r="D82" s="2"/>
      <c r="E82" s="2"/>
      <c r="F82" s="2"/>
      <c r="G82" s="2"/>
      <c r="H82" s="2"/>
      <c r="I82" s="2"/>
      <c r="J82" s="2"/>
      <c r="K82" s="2"/>
      <c r="L82" s="2"/>
      <c r="M82" s="2"/>
      <c r="N82" s="2"/>
      <c r="O82" s="2"/>
      <c r="P82" s="2">
        <v>6</v>
      </c>
      <c r="Q82" s="2">
        <v>7</v>
      </c>
      <c r="R82" s="2">
        <v>8</v>
      </c>
      <c r="S82" s="2">
        <v>8</v>
      </c>
      <c r="T82" s="4">
        <v>9</v>
      </c>
      <c r="U82" s="2">
        <v>8</v>
      </c>
      <c r="V82" s="2">
        <v>9</v>
      </c>
      <c r="W82" s="2">
        <v>8</v>
      </c>
      <c r="X82" s="2">
        <v>9</v>
      </c>
      <c r="Y82" s="2"/>
      <c r="Z82" s="2"/>
      <c r="AA82" s="2"/>
      <c r="AB82" s="71"/>
      <c r="AC82" s="71"/>
      <c r="AD82" s="71"/>
      <c r="AE82" s="2"/>
      <c r="AF82" s="2"/>
      <c r="AG82" s="2"/>
      <c r="AH82" s="2"/>
      <c r="AI82" s="2"/>
      <c r="AJ82" s="4"/>
      <c r="AK82" s="77"/>
      <c r="AL82" s="79"/>
      <c r="AM82" s="81">
        <v>3</v>
      </c>
      <c r="AN82" s="2">
        <v>4</v>
      </c>
      <c r="AO82" s="2">
        <v>5</v>
      </c>
      <c r="AP82" s="2">
        <v>6</v>
      </c>
      <c r="AQ82" s="2">
        <v>7</v>
      </c>
      <c r="AR82" s="82">
        <v>8</v>
      </c>
    </row>
    <row r="83" spans="1:50" x14ac:dyDescent="0.25">
      <c r="A83" s="76">
        <v>1</v>
      </c>
      <c r="B83" s="72"/>
      <c r="C83" s="73">
        <v>3</v>
      </c>
      <c r="D83" s="3">
        <f>IF(pannello!U12&lt;=1,"n",270)</f>
        <v>270</v>
      </c>
      <c r="E83" s="3">
        <f>IF(pannello!U12&lt;=1,"n",140)</f>
        <v>140</v>
      </c>
      <c r="F83" s="3">
        <v>60</v>
      </c>
      <c r="G83" s="3">
        <v>34</v>
      </c>
      <c r="H83" s="3">
        <v>20</v>
      </c>
      <c r="I83" s="3">
        <v>14</v>
      </c>
      <c r="J83" s="3">
        <v>10</v>
      </c>
      <c r="K83" s="3">
        <v>6</v>
      </c>
      <c r="L83" s="3">
        <v>4</v>
      </c>
      <c r="M83" s="3">
        <v>2</v>
      </c>
      <c r="N83" s="3">
        <v>0</v>
      </c>
      <c r="O83" s="3">
        <f>IF(AND(pannello!$AA$12&gt;=7,pannello!$AA$12&lt;=11),ROUNDDOWN($X$27/2,0),$X$27/2)</f>
        <v>36</v>
      </c>
      <c r="P83" s="3">
        <v>2</v>
      </c>
      <c r="Q83" s="3">
        <v>4</v>
      </c>
      <c r="R83" s="3">
        <v>6</v>
      </c>
      <c r="S83" s="3">
        <v>0</v>
      </c>
      <c r="T83" s="5">
        <v>0</v>
      </c>
      <c r="U83" s="3">
        <v>-2</v>
      </c>
      <c r="V83" s="3">
        <v>-2</v>
      </c>
      <c r="W83" s="3">
        <f>IF(pannello!U12&lt;=1,"n",-4)</f>
        <v>-4</v>
      </c>
      <c r="X83" s="3">
        <f>IF(pannello!U12&lt;=1,"n",-4)</f>
        <v>-4</v>
      </c>
      <c r="Y83" s="3">
        <v>-6</v>
      </c>
      <c r="Z83" s="3">
        <v>-10</v>
      </c>
      <c r="AA83" s="3">
        <v>-14</v>
      </c>
      <c r="AB83" s="62" t="s">
        <v>11</v>
      </c>
      <c r="AC83" s="70">
        <v>-18</v>
      </c>
      <c r="AD83" s="62" t="s">
        <v>11</v>
      </c>
      <c r="AE83" s="3">
        <v>-20</v>
      </c>
      <c r="AF83" s="3"/>
      <c r="AG83" s="3">
        <v>-26</v>
      </c>
      <c r="AH83" s="3">
        <v>-32</v>
      </c>
      <c r="AI83" s="3">
        <v>-40</v>
      </c>
      <c r="AJ83" s="5">
        <v>-60</v>
      </c>
      <c r="AK83" s="78" t="str">
        <f>IF(AND(pannello!$U$12&gt;B83,pannello!$U$12&lt;=C83),A83,"")</f>
        <v/>
      </c>
      <c r="AL83" s="80"/>
      <c r="AM83" s="83">
        <v>0</v>
      </c>
      <c r="AN83" s="3">
        <v>0</v>
      </c>
      <c r="AO83" s="3">
        <v>0</v>
      </c>
      <c r="AP83" s="3">
        <v>0</v>
      </c>
      <c r="AQ83" s="3">
        <v>0</v>
      </c>
      <c r="AR83" s="84">
        <v>0</v>
      </c>
      <c r="AS83" t="str">
        <f>IF(AND(pannello!$U$12&gt;B83,pannello!$U$12&lt;=C83),A83,"")</f>
        <v/>
      </c>
      <c r="AW83" s="55"/>
      <c r="AX83" s="3">
        <v>3</v>
      </c>
    </row>
    <row r="84" spans="1:50" x14ac:dyDescent="0.25">
      <c r="A84" s="76">
        <v>2</v>
      </c>
      <c r="B84" s="72">
        <v>3</v>
      </c>
      <c r="C84" s="73">
        <v>6</v>
      </c>
      <c r="D84" s="3">
        <v>270</v>
      </c>
      <c r="E84" s="3">
        <v>140</v>
      </c>
      <c r="F84" s="3">
        <v>70</v>
      </c>
      <c r="G84" s="3">
        <v>46</v>
      </c>
      <c r="H84" s="3">
        <v>30</v>
      </c>
      <c r="I84" s="3">
        <v>20</v>
      </c>
      <c r="J84" s="3">
        <v>14</v>
      </c>
      <c r="K84" s="3">
        <v>10</v>
      </c>
      <c r="L84" s="3">
        <v>6</v>
      </c>
      <c r="M84" s="3">
        <v>4</v>
      </c>
      <c r="N84" s="3">
        <v>0</v>
      </c>
      <c r="O84" s="3">
        <f>IF(AND(pannello!$AA$12&gt;=7,pannello!$AA$12&lt;=11),ROUNDDOWN($X$27/2,0),$X$27/2)</f>
        <v>36</v>
      </c>
      <c r="P84" s="3">
        <v>5</v>
      </c>
      <c r="Q84" s="3">
        <v>6</v>
      </c>
      <c r="R84" s="3">
        <v>10</v>
      </c>
      <c r="S84" s="3">
        <v>-1</v>
      </c>
      <c r="T84" s="5" t="s">
        <v>11</v>
      </c>
      <c r="U84" s="3">
        <v>-4</v>
      </c>
      <c r="V84" s="3">
        <v>-4</v>
      </c>
      <c r="W84" s="3">
        <v>-8</v>
      </c>
      <c r="X84" s="3">
        <v>0</v>
      </c>
      <c r="Y84" s="3">
        <v>-12</v>
      </c>
      <c r="Z84" s="3">
        <v>-15</v>
      </c>
      <c r="AA84" s="3">
        <v>-19</v>
      </c>
      <c r="AB84" s="37" t="s">
        <v>11</v>
      </c>
      <c r="AC84" s="3">
        <v>-23</v>
      </c>
      <c r="AD84" s="37" t="s">
        <v>11</v>
      </c>
      <c r="AE84" s="3">
        <v>-28</v>
      </c>
      <c r="AF84" s="3"/>
      <c r="AG84" s="3">
        <v>-35</v>
      </c>
      <c r="AH84" s="3">
        <v>-42</v>
      </c>
      <c r="AI84" s="3">
        <v>-50</v>
      </c>
      <c r="AJ84" s="5">
        <v>-80</v>
      </c>
      <c r="AK84" s="78" t="str">
        <f>IF(AND(pannello!$U$12&gt;B84,pannello!$U$12&lt;=C84),A84,"")</f>
        <v/>
      </c>
      <c r="AL84" s="80"/>
      <c r="AM84" s="83">
        <v>1</v>
      </c>
      <c r="AN84" s="3">
        <v>1.5</v>
      </c>
      <c r="AO84" s="3">
        <v>1</v>
      </c>
      <c r="AP84" s="3">
        <v>3</v>
      </c>
      <c r="AQ84" s="3">
        <v>4</v>
      </c>
      <c r="AR84" s="84">
        <v>6</v>
      </c>
      <c r="AS84" t="str">
        <f>IF(AND(pannello!$U$12&gt;B84,pannello!$U$12&lt;=C84),A84,"")</f>
        <v/>
      </c>
      <c r="AW84" s="55">
        <v>3</v>
      </c>
      <c r="AX84" s="3">
        <v>6</v>
      </c>
    </row>
    <row r="85" spans="1:50" x14ac:dyDescent="0.25">
      <c r="A85" s="76">
        <v>3</v>
      </c>
      <c r="B85" s="72">
        <v>6</v>
      </c>
      <c r="C85" s="73">
        <v>10</v>
      </c>
      <c r="D85" s="3">
        <v>280</v>
      </c>
      <c r="E85" s="3">
        <v>150</v>
      </c>
      <c r="F85" s="3">
        <v>80</v>
      </c>
      <c r="G85" s="3">
        <v>56</v>
      </c>
      <c r="H85" s="3">
        <v>40</v>
      </c>
      <c r="I85" s="3">
        <v>25</v>
      </c>
      <c r="J85" s="3">
        <v>18</v>
      </c>
      <c r="K85" s="3">
        <v>13</v>
      </c>
      <c r="L85" s="3">
        <v>8</v>
      </c>
      <c r="M85" s="3">
        <v>5</v>
      </c>
      <c r="N85" s="3">
        <v>0</v>
      </c>
      <c r="O85" s="3">
        <f>IF(AND(pannello!$AA$12&gt;=7,pannello!$AA$12&lt;=11),ROUNDDOWN($X$27/2,0),$X$27/2)</f>
        <v>36</v>
      </c>
      <c r="P85" s="3">
        <v>5</v>
      </c>
      <c r="Q85" s="3">
        <v>8</v>
      </c>
      <c r="R85" s="3">
        <v>12</v>
      </c>
      <c r="S85" s="3">
        <v>-1</v>
      </c>
      <c r="T85" s="5" t="s">
        <v>11</v>
      </c>
      <c r="U85" s="3">
        <v>-6</v>
      </c>
      <c r="V85" s="3">
        <v>-6</v>
      </c>
      <c r="W85" s="3">
        <v>-10</v>
      </c>
      <c r="X85" s="3">
        <v>0</v>
      </c>
      <c r="Y85" s="3">
        <v>-15</v>
      </c>
      <c r="Z85" s="3">
        <v>-19</v>
      </c>
      <c r="AA85" s="3">
        <v>-23</v>
      </c>
      <c r="AB85" s="37" t="s">
        <v>11</v>
      </c>
      <c r="AC85" s="3">
        <v>-28</v>
      </c>
      <c r="AD85" s="37" t="s">
        <v>11</v>
      </c>
      <c r="AE85" s="3">
        <v>-34</v>
      </c>
      <c r="AF85" s="3"/>
      <c r="AG85" s="3">
        <v>-42</v>
      </c>
      <c r="AH85" s="3">
        <v>-52</v>
      </c>
      <c r="AI85" s="3">
        <v>-67</v>
      </c>
      <c r="AJ85" s="5">
        <v>-97</v>
      </c>
      <c r="AK85" s="78" t="str">
        <f>IF(AND(pannello!$U$12&gt;B85,pannello!$U$12&lt;=C85),A85,"")</f>
        <v/>
      </c>
      <c r="AL85" s="80"/>
      <c r="AM85" s="83">
        <v>1</v>
      </c>
      <c r="AN85" s="3">
        <v>1.5</v>
      </c>
      <c r="AO85" s="3">
        <v>2</v>
      </c>
      <c r="AP85" s="3">
        <v>3</v>
      </c>
      <c r="AQ85" s="3">
        <v>6</v>
      </c>
      <c r="AR85" s="84">
        <v>7</v>
      </c>
      <c r="AS85" t="str">
        <f>IF(AND(pannello!$U$12&gt;B85,pannello!$U$12&lt;=C85),A85,"")</f>
        <v/>
      </c>
      <c r="AW85" s="55">
        <v>6</v>
      </c>
      <c r="AX85" s="3">
        <v>10</v>
      </c>
    </row>
    <row r="86" spans="1:50" x14ac:dyDescent="0.25">
      <c r="A86" s="76">
        <v>4</v>
      </c>
      <c r="B86" s="72">
        <v>10</v>
      </c>
      <c r="C86" s="73">
        <v>14</v>
      </c>
      <c r="D86" s="3">
        <v>290</v>
      </c>
      <c r="E86" s="3">
        <v>150</v>
      </c>
      <c r="F86" s="3">
        <v>95</v>
      </c>
      <c r="G86" s="37" t="s">
        <v>11</v>
      </c>
      <c r="H86" s="3">
        <v>50</v>
      </c>
      <c r="I86" s="3">
        <v>32</v>
      </c>
      <c r="J86" s="37" t="s">
        <v>11</v>
      </c>
      <c r="K86" s="3">
        <v>16</v>
      </c>
      <c r="L86" s="37" t="s">
        <v>11</v>
      </c>
      <c r="M86" s="3">
        <v>6</v>
      </c>
      <c r="N86" s="3">
        <v>0</v>
      </c>
      <c r="O86" s="3">
        <f>IF(AND(pannello!$AA$12&gt;=7,pannello!$AA$12&lt;=11),ROUNDDOWN($X$27/2,0),$X$27/2)</f>
        <v>36</v>
      </c>
      <c r="P86" s="3">
        <v>6</v>
      </c>
      <c r="Q86" s="3">
        <v>10</v>
      </c>
      <c r="R86" s="3">
        <v>15</v>
      </c>
      <c r="S86" s="3">
        <v>-1</v>
      </c>
      <c r="T86" s="5" t="s">
        <v>11</v>
      </c>
      <c r="U86" s="3">
        <v>-7</v>
      </c>
      <c r="V86" s="3">
        <v>-7</v>
      </c>
      <c r="W86" s="3">
        <v>-12</v>
      </c>
      <c r="X86" s="3">
        <v>0</v>
      </c>
      <c r="Y86" s="3">
        <v>-18</v>
      </c>
      <c r="Z86" s="3">
        <v>-23</v>
      </c>
      <c r="AA86" s="3">
        <v>-28</v>
      </c>
      <c r="AB86" s="37" t="s">
        <v>11</v>
      </c>
      <c r="AC86" s="3">
        <v>-33</v>
      </c>
      <c r="AD86" s="37" t="s">
        <v>11</v>
      </c>
      <c r="AE86" s="3">
        <v>-40</v>
      </c>
      <c r="AF86" s="3"/>
      <c r="AG86" s="3">
        <v>-50</v>
      </c>
      <c r="AH86" s="3">
        <v>-64</v>
      </c>
      <c r="AI86" s="3">
        <v>-90</v>
      </c>
      <c r="AJ86" s="5">
        <v>-130</v>
      </c>
      <c r="AK86" s="78" t="str">
        <f>IF(AND(pannello!$U$12&gt;B86,pannello!$U$12&lt;=C86),A86,"")</f>
        <v/>
      </c>
      <c r="AL86" s="80"/>
      <c r="AM86" s="83">
        <v>1</v>
      </c>
      <c r="AN86" s="3">
        <v>2</v>
      </c>
      <c r="AO86" s="3">
        <v>3</v>
      </c>
      <c r="AP86" s="3">
        <v>3</v>
      </c>
      <c r="AQ86" s="3">
        <v>7</v>
      </c>
      <c r="AR86" s="84">
        <v>9</v>
      </c>
      <c r="AS86" t="str">
        <f>IF(AND(pannello!$U$12&gt;B86,pannello!$U$12&lt;=C86),A86,"")</f>
        <v/>
      </c>
      <c r="AW86" s="55">
        <v>10</v>
      </c>
      <c r="AX86" s="3">
        <v>14</v>
      </c>
    </row>
    <row r="87" spans="1:50" x14ac:dyDescent="0.25">
      <c r="A87" s="76">
        <v>5</v>
      </c>
      <c r="B87" s="72">
        <v>14</v>
      </c>
      <c r="C87" s="73">
        <v>18</v>
      </c>
      <c r="D87" s="3">
        <v>290</v>
      </c>
      <c r="E87" s="3">
        <v>150</v>
      </c>
      <c r="F87" s="3">
        <v>95</v>
      </c>
      <c r="G87" s="37" t="s">
        <v>11</v>
      </c>
      <c r="H87" s="3">
        <v>50</v>
      </c>
      <c r="I87" s="3">
        <v>32</v>
      </c>
      <c r="J87" s="37" t="s">
        <v>11</v>
      </c>
      <c r="K87" s="3">
        <v>16</v>
      </c>
      <c r="L87" s="37" t="s">
        <v>11</v>
      </c>
      <c r="M87" s="3">
        <v>6</v>
      </c>
      <c r="N87" s="3">
        <v>0</v>
      </c>
      <c r="O87" s="3">
        <f>IF(AND(pannello!$AA$12&gt;=7,pannello!$AA$12&lt;=11),ROUNDDOWN($X$27/2,0),$X$27/2)</f>
        <v>36</v>
      </c>
      <c r="P87" s="3">
        <v>6</v>
      </c>
      <c r="Q87" s="3">
        <v>10</v>
      </c>
      <c r="R87" s="3">
        <v>15</v>
      </c>
      <c r="S87" s="3">
        <v>-1</v>
      </c>
      <c r="T87" s="5" t="s">
        <v>11</v>
      </c>
      <c r="U87" s="3">
        <v>-7</v>
      </c>
      <c r="V87" s="3">
        <v>-7</v>
      </c>
      <c r="W87" s="3">
        <v>-12</v>
      </c>
      <c r="X87" s="3">
        <v>0</v>
      </c>
      <c r="Y87" s="3">
        <v>-18</v>
      </c>
      <c r="Z87" s="3">
        <v>-23</v>
      </c>
      <c r="AA87" s="3">
        <v>-28</v>
      </c>
      <c r="AB87" s="37" t="s">
        <v>11</v>
      </c>
      <c r="AC87" s="3">
        <v>-33</v>
      </c>
      <c r="AD87" s="3">
        <v>-39</v>
      </c>
      <c r="AE87" s="3">
        <v>-45</v>
      </c>
      <c r="AF87" s="3"/>
      <c r="AG87" s="3">
        <v>-60</v>
      </c>
      <c r="AH87" s="3">
        <v>-77</v>
      </c>
      <c r="AI87" s="3">
        <v>-108</v>
      </c>
      <c r="AJ87" s="5">
        <v>-150</v>
      </c>
      <c r="AK87" s="78" t="str">
        <f>IF(AND(pannello!$U$12&gt;B87,pannello!$U$12&lt;=C87),A87,"")</f>
        <v/>
      </c>
      <c r="AL87" s="80"/>
      <c r="AM87" s="83">
        <v>1</v>
      </c>
      <c r="AN87" s="3">
        <v>2</v>
      </c>
      <c r="AO87" s="3">
        <v>3</v>
      </c>
      <c r="AP87" s="3">
        <v>3</v>
      </c>
      <c r="AQ87" s="3">
        <v>7</v>
      </c>
      <c r="AR87" s="84">
        <v>9</v>
      </c>
      <c r="AS87" t="str">
        <f>IF(AND(pannello!$U$12&gt;B87,pannello!$U$12&lt;=C87),A87,"")</f>
        <v/>
      </c>
      <c r="AW87" s="55">
        <v>14</v>
      </c>
      <c r="AX87" s="3">
        <v>18</v>
      </c>
    </row>
    <row r="88" spans="1:50" x14ac:dyDescent="0.25">
      <c r="A88" s="76">
        <v>6</v>
      </c>
      <c r="B88" s="72">
        <v>18</v>
      </c>
      <c r="C88" s="73">
        <v>24</v>
      </c>
      <c r="D88" s="3">
        <v>300</v>
      </c>
      <c r="E88" s="3">
        <v>160</v>
      </c>
      <c r="F88" s="3">
        <v>110</v>
      </c>
      <c r="G88" s="37" t="s">
        <v>11</v>
      </c>
      <c r="H88" s="3">
        <v>65</v>
      </c>
      <c r="I88" s="3">
        <v>40</v>
      </c>
      <c r="J88" s="37" t="s">
        <v>11</v>
      </c>
      <c r="K88" s="3">
        <v>20</v>
      </c>
      <c r="L88" s="37" t="s">
        <v>11</v>
      </c>
      <c r="M88" s="3">
        <v>7</v>
      </c>
      <c r="N88" s="3">
        <v>0</v>
      </c>
      <c r="O88" s="3">
        <f>IF(AND(pannello!$AA$12&gt;=7,pannello!$AA$12&lt;=11),ROUNDDOWN($X$27/2,0),$X$27/2)</f>
        <v>36</v>
      </c>
      <c r="P88" s="3">
        <v>8</v>
      </c>
      <c r="Q88" s="3">
        <v>12</v>
      </c>
      <c r="R88" s="3">
        <v>20</v>
      </c>
      <c r="S88" s="3">
        <v>-2</v>
      </c>
      <c r="T88" s="5" t="s">
        <v>11</v>
      </c>
      <c r="U88" s="3">
        <v>-8</v>
      </c>
      <c r="V88" s="3">
        <v>-8</v>
      </c>
      <c r="W88" s="3">
        <v>-15</v>
      </c>
      <c r="X88" s="3">
        <v>0</v>
      </c>
      <c r="Y88" s="3">
        <v>-22</v>
      </c>
      <c r="Z88" s="3">
        <v>-28</v>
      </c>
      <c r="AA88" s="3">
        <v>-35</v>
      </c>
      <c r="AB88" s="37" t="s">
        <v>11</v>
      </c>
      <c r="AC88" s="3">
        <v>-41</v>
      </c>
      <c r="AD88" s="3">
        <v>-47</v>
      </c>
      <c r="AE88" s="3">
        <v>-54</v>
      </c>
      <c r="AF88" s="3">
        <v>-63</v>
      </c>
      <c r="AG88" s="3">
        <v>-73</v>
      </c>
      <c r="AH88" s="3">
        <v>-98</v>
      </c>
      <c r="AI88" s="3">
        <v>-136</v>
      </c>
      <c r="AJ88" s="5">
        <v>-188</v>
      </c>
      <c r="AK88" s="78" t="str">
        <f>IF(AND(pannello!$U$12&gt;B88,pannello!$U$12&lt;=C88),A88,"")</f>
        <v/>
      </c>
      <c r="AL88" s="80"/>
      <c r="AM88" s="83">
        <v>1.5</v>
      </c>
      <c r="AN88" s="3">
        <v>2</v>
      </c>
      <c r="AO88" s="3">
        <v>3</v>
      </c>
      <c r="AP88" s="3">
        <v>4</v>
      </c>
      <c r="AQ88" s="3">
        <v>8</v>
      </c>
      <c r="AR88" s="84">
        <v>12</v>
      </c>
      <c r="AS88" t="str">
        <f>IF(AND(pannello!$U$12&gt;B88,pannello!$U$12&lt;=C88),A88,"")</f>
        <v/>
      </c>
      <c r="AW88" s="55">
        <v>18</v>
      </c>
      <c r="AX88" s="3">
        <v>24</v>
      </c>
    </row>
    <row r="89" spans="1:50" x14ac:dyDescent="0.25">
      <c r="A89" s="76">
        <v>7</v>
      </c>
      <c r="B89" s="72">
        <v>24</v>
      </c>
      <c r="C89" s="73">
        <v>30</v>
      </c>
      <c r="D89" s="3">
        <v>300</v>
      </c>
      <c r="E89" s="3">
        <v>160</v>
      </c>
      <c r="F89" s="3">
        <v>110</v>
      </c>
      <c r="G89" s="37" t="s">
        <v>11</v>
      </c>
      <c r="H89" s="3">
        <v>65</v>
      </c>
      <c r="I89" s="3">
        <v>40</v>
      </c>
      <c r="J89" s="37" t="s">
        <v>11</v>
      </c>
      <c r="K89" s="3">
        <v>20</v>
      </c>
      <c r="L89" s="37" t="s">
        <v>11</v>
      </c>
      <c r="M89" s="3">
        <v>7</v>
      </c>
      <c r="N89" s="3">
        <v>0</v>
      </c>
      <c r="O89" s="3">
        <f>IF(AND(pannello!$AA$12&gt;=7,pannello!$AA$12&lt;=11),ROUNDDOWN($X$27/2,0),$X$27/2)</f>
        <v>36</v>
      </c>
      <c r="P89" s="3">
        <v>8</v>
      </c>
      <c r="Q89" s="3">
        <v>12</v>
      </c>
      <c r="R89" s="3">
        <v>20</v>
      </c>
      <c r="S89" s="3">
        <v>-2</v>
      </c>
      <c r="T89" s="5" t="s">
        <v>11</v>
      </c>
      <c r="U89" s="3">
        <v>-8</v>
      </c>
      <c r="V89" s="3">
        <v>-8</v>
      </c>
      <c r="W89" s="3">
        <v>-15</v>
      </c>
      <c r="X89" s="3">
        <v>0</v>
      </c>
      <c r="Y89" s="3">
        <v>-22</v>
      </c>
      <c r="Z89" s="3">
        <v>-28</v>
      </c>
      <c r="AA89" s="3">
        <v>-35</v>
      </c>
      <c r="AB89" s="3">
        <v>-41</v>
      </c>
      <c r="AC89" s="3">
        <v>-48</v>
      </c>
      <c r="AD89" s="3">
        <v>-55</v>
      </c>
      <c r="AE89" s="3">
        <v>-64</v>
      </c>
      <c r="AF89" s="3">
        <v>-75</v>
      </c>
      <c r="AG89" s="3">
        <v>-88</v>
      </c>
      <c r="AH89" s="3">
        <v>-118</v>
      </c>
      <c r="AI89" s="3">
        <v>-160</v>
      </c>
      <c r="AJ89" s="5">
        <v>-218</v>
      </c>
      <c r="AK89" s="78" t="str">
        <f>IF(AND(pannello!$U$12&gt;B89,pannello!$U$12&lt;=C89),A89,"")</f>
        <v/>
      </c>
      <c r="AL89" s="80"/>
      <c r="AM89" s="83">
        <v>1.5</v>
      </c>
      <c r="AN89" s="3">
        <v>2</v>
      </c>
      <c r="AO89" s="3">
        <v>3</v>
      </c>
      <c r="AP89" s="3">
        <v>4</v>
      </c>
      <c r="AQ89" s="3">
        <v>8</v>
      </c>
      <c r="AR89" s="84">
        <v>12</v>
      </c>
      <c r="AS89" t="str">
        <f>IF(AND(pannello!$U$12&gt;B89,pannello!$U$12&lt;=C89),A89,"")</f>
        <v/>
      </c>
      <c r="AW89" s="55">
        <v>24</v>
      </c>
      <c r="AX89" s="3">
        <v>30</v>
      </c>
    </row>
    <row r="90" spans="1:50" x14ac:dyDescent="0.25">
      <c r="A90" s="76">
        <v>8</v>
      </c>
      <c r="B90" s="72">
        <v>30</v>
      </c>
      <c r="C90" s="73">
        <v>40</v>
      </c>
      <c r="D90" s="3">
        <v>310</v>
      </c>
      <c r="E90" s="3">
        <v>170</v>
      </c>
      <c r="F90" s="3">
        <v>120</v>
      </c>
      <c r="G90" s="37" t="s">
        <v>11</v>
      </c>
      <c r="H90" s="3">
        <v>80</v>
      </c>
      <c r="I90" s="3">
        <v>50</v>
      </c>
      <c r="J90" s="37" t="s">
        <v>11</v>
      </c>
      <c r="K90" s="3">
        <v>25</v>
      </c>
      <c r="L90" s="37" t="s">
        <v>11</v>
      </c>
      <c r="M90" s="3">
        <v>9</v>
      </c>
      <c r="N90" s="3">
        <v>0</v>
      </c>
      <c r="O90" s="3">
        <f>IF(AND(pannello!$AA$12&gt;=7,pannello!$AA$12&lt;=11),ROUNDDOWN($X$27/2,0),$X$27/2)</f>
        <v>36</v>
      </c>
      <c r="P90" s="3">
        <v>10</v>
      </c>
      <c r="Q90" s="3">
        <v>14</v>
      </c>
      <c r="R90" s="3">
        <v>24</v>
      </c>
      <c r="S90" s="3">
        <v>-2</v>
      </c>
      <c r="T90" s="5" t="s">
        <v>11</v>
      </c>
      <c r="U90" s="3">
        <v>-9</v>
      </c>
      <c r="V90" s="3">
        <v>-9</v>
      </c>
      <c r="W90" s="3">
        <v>-17</v>
      </c>
      <c r="X90" s="3">
        <v>0</v>
      </c>
      <c r="Y90" s="3">
        <v>-26</v>
      </c>
      <c r="Z90" s="3">
        <v>-34</v>
      </c>
      <c r="AA90" s="3">
        <v>-43</v>
      </c>
      <c r="AB90" s="3">
        <v>-48</v>
      </c>
      <c r="AC90" s="3">
        <v>-60</v>
      </c>
      <c r="AD90" s="3">
        <v>-68</v>
      </c>
      <c r="AE90" s="3">
        <v>-80</v>
      </c>
      <c r="AF90" s="3">
        <v>-94</v>
      </c>
      <c r="AG90" s="3">
        <v>-112</v>
      </c>
      <c r="AH90" s="3">
        <v>-148</v>
      </c>
      <c r="AI90" s="3">
        <v>-200</v>
      </c>
      <c r="AJ90" s="5">
        <v>-274</v>
      </c>
      <c r="AK90" s="78" t="str">
        <f>IF(AND(pannello!$U$12&gt;B90,pannello!$U$12&lt;=C90),A90,"")</f>
        <v/>
      </c>
      <c r="AL90" s="80"/>
      <c r="AM90" s="83">
        <v>1.5</v>
      </c>
      <c r="AN90" s="3">
        <v>3</v>
      </c>
      <c r="AO90" s="3">
        <v>4</v>
      </c>
      <c r="AP90" s="3">
        <v>5</v>
      </c>
      <c r="AQ90" s="3">
        <v>9</v>
      </c>
      <c r="AR90" s="84">
        <v>14</v>
      </c>
      <c r="AS90" t="str">
        <f>IF(AND(pannello!$U$12&gt;B90,pannello!$U$12&lt;=C90),A90,"")</f>
        <v/>
      </c>
      <c r="AW90" s="55">
        <v>30</v>
      </c>
      <c r="AX90" s="3">
        <v>40</v>
      </c>
    </row>
    <row r="91" spans="1:50" x14ac:dyDescent="0.25">
      <c r="A91" s="76">
        <v>9</v>
      </c>
      <c r="B91" s="72">
        <v>40</v>
      </c>
      <c r="C91" s="73">
        <v>50</v>
      </c>
      <c r="D91" s="3">
        <v>320</v>
      </c>
      <c r="E91" s="3">
        <v>180</v>
      </c>
      <c r="F91" s="3">
        <v>130</v>
      </c>
      <c r="G91" s="37" t="s">
        <v>11</v>
      </c>
      <c r="H91" s="3">
        <v>80</v>
      </c>
      <c r="I91" s="3">
        <v>50</v>
      </c>
      <c r="J91" s="37" t="s">
        <v>11</v>
      </c>
      <c r="K91" s="3">
        <v>25</v>
      </c>
      <c r="L91" s="37" t="s">
        <v>11</v>
      </c>
      <c r="M91" s="3">
        <v>9</v>
      </c>
      <c r="N91" s="3">
        <v>0</v>
      </c>
      <c r="O91" s="3">
        <f>IF(AND(pannello!$AA$12&gt;=7,pannello!$AA$12&lt;=11),ROUNDDOWN($X$27/2,0),$X$27/2)</f>
        <v>36</v>
      </c>
      <c r="P91" s="3">
        <v>10</v>
      </c>
      <c r="Q91" s="3">
        <v>14</v>
      </c>
      <c r="R91" s="3">
        <v>24</v>
      </c>
      <c r="S91" s="3">
        <v>-2</v>
      </c>
      <c r="T91" s="5" t="s">
        <v>11</v>
      </c>
      <c r="U91" s="3">
        <v>-9</v>
      </c>
      <c r="V91" s="3">
        <v>-9</v>
      </c>
      <c r="W91" s="3">
        <v>-17</v>
      </c>
      <c r="X91" s="3">
        <v>0</v>
      </c>
      <c r="Y91" s="3">
        <v>-26</v>
      </c>
      <c r="Z91" s="3">
        <v>-34</v>
      </c>
      <c r="AA91" s="3">
        <v>-43</v>
      </c>
      <c r="AB91" s="3">
        <v>-54</v>
      </c>
      <c r="AC91" s="3">
        <v>-70</v>
      </c>
      <c r="AD91" s="3">
        <v>-81</v>
      </c>
      <c r="AE91" s="3">
        <v>-97</v>
      </c>
      <c r="AF91" s="3">
        <v>-114</v>
      </c>
      <c r="AG91" s="3">
        <v>-136</v>
      </c>
      <c r="AH91" s="3">
        <v>-180</v>
      </c>
      <c r="AI91" s="3">
        <v>-242</v>
      </c>
      <c r="AJ91" s="5">
        <v>-325</v>
      </c>
      <c r="AK91" s="78" t="str">
        <f>IF(AND(pannello!$U$12&gt;B91,pannello!$U$12&lt;=C91),A91,"")</f>
        <v/>
      </c>
      <c r="AL91" s="80"/>
      <c r="AM91" s="83">
        <v>1.5</v>
      </c>
      <c r="AN91" s="3">
        <v>3</v>
      </c>
      <c r="AO91" s="3">
        <v>4</v>
      </c>
      <c r="AP91" s="3">
        <v>5</v>
      </c>
      <c r="AQ91" s="3">
        <v>9</v>
      </c>
      <c r="AR91" s="84">
        <v>14</v>
      </c>
      <c r="AS91" t="str">
        <f>IF(AND(pannello!$U$12&gt;B91,pannello!$U$12&lt;=C91),A91,"")</f>
        <v/>
      </c>
      <c r="AW91" s="55">
        <v>40</v>
      </c>
      <c r="AX91" s="3">
        <v>50</v>
      </c>
    </row>
    <row r="92" spans="1:50" x14ac:dyDescent="0.25">
      <c r="A92" s="76">
        <v>10</v>
      </c>
      <c r="B92" s="72">
        <v>50</v>
      </c>
      <c r="C92" s="73">
        <v>65</v>
      </c>
      <c r="D92" s="3">
        <v>340</v>
      </c>
      <c r="E92" s="3">
        <v>190</v>
      </c>
      <c r="F92" s="3">
        <v>140</v>
      </c>
      <c r="G92" s="37" t="s">
        <v>11</v>
      </c>
      <c r="H92" s="3">
        <v>100</v>
      </c>
      <c r="I92" s="3">
        <v>60</v>
      </c>
      <c r="J92" s="37" t="s">
        <v>11</v>
      </c>
      <c r="K92" s="3">
        <v>30</v>
      </c>
      <c r="L92" s="37" t="s">
        <v>11</v>
      </c>
      <c r="M92" s="3">
        <v>10</v>
      </c>
      <c r="N92" s="3">
        <v>0</v>
      </c>
      <c r="O92" s="3">
        <f>IF(AND(pannello!$AA$12&gt;=7,pannello!$AA$12&lt;=11),ROUNDDOWN($X$27/2,0),$X$27/2)</f>
        <v>36</v>
      </c>
      <c r="P92" s="3">
        <v>13</v>
      </c>
      <c r="Q92" s="3">
        <v>18</v>
      </c>
      <c r="R92" s="3">
        <v>28</v>
      </c>
      <c r="S92" s="3">
        <v>-2</v>
      </c>
      <c r="T92" s="5" t="s">
        <v>11</v>
      </c>
      <c r="U92" s="3">
        <v>-11</v>
      </c>
      <c r="V92" s="3">
        <v>-11</v>
      </c>
      <c r="W92" s="3">
        <v>-20</v>
      </c>
      <c r="X92" s="3">
        <v>0</v>
      </c>
      <c r="Y92" s="3">
        <v>-32</v>
      </c>
      <c r="Z92" s="3">
        <v>-41</v>
      </c>
      <c r="AA92" s="3">
        <v>-53</v>
      </c>
      <c r="AB92" s="3">
        <v>-66</v>
      </c>
      <c r="AC92" s="3">
        <v>-87</v>
      </c>
      <c r="AD92" s="3">
        <v>-102</v>
      </c>
      <c r="AE92" s="3">
        <v>-122</v>
      </c>
      <c r="AF92" s="3">
        <v>-144</v>
      </c>
      <c r="AG92" s="3">
        <v>-172</v>
      </c>
      <c r="AH92" s="3">
        <v>-226</v>
      </c>
      <c r="AI92" s="3">
        <v>-300</v>
      </c>
      <c r="AJ92" s="5">
        <v>-405</v>
      </c>
      <c r="AK92" s="78" t="str">
        <f>IF(AND(pannello!$U$12&gt;B92,pannello!$U$12&lt;=C92),A92,"")</f>
        <v/>
      </c>
      <c r="AL92" s="80"/>
      <c r="AM92" s="83">
        <v>2</v>
      </c>
      <c r="AN92" s="3">
        <v>3</v>
      </c>
      <c r="AO92" s="3">
        <v>5</v>
      </c>
      <c r="AP92" s="3">
        <v>6</v>
      </c>
      <c r="AQ92" s="3">
        <v>11</v>
      </c>
      <c r="AR92" s="84">
        <v>16</v>
      </c>
      <c r="AS92" t="str">
        <f>IF(AND(pannello!$U$12&gt;B92,pannello!$U$12&lt;=C92),A92,"")</f>
        <v/>
      </c>
      <c r="AW92" s="55">
        <v>50</v>
      </c>
      <c r="AX92" s="3">
        <v>65</v>
      </c>
    </row>
    <row r="93" spans="1:50" x14ac:dyDescent="0.25">
      <c r="A93" s="76">
        <v>11</v>
      </c>
      <c r="B93" s="72">
        <v>65</v>
      </c>
      <c r="C93" s="73">
        <v>80</v>
      </c>
      <c r="D93" s="3">
        <v>360</v>
      </c>
      <c r="E93" s="3">
        <v>200</v>
      </c>
      <c r="F93" s="3">
        <v>150</v>
      </c>
      <c r="G93" s="37" t="s">
        <v>11</v>
      </c>
      <c r="H93" s="3">
        <v>100</v>
      </c>
      <c r="I93" s="3">
        <v>60</v>
      </c>
      <c r="J93" s="37" t="s">
        <v>11</v>
      </c>
      <c r="K93" s="3">
        <v>30</v>
      </c>
      <c r="L93" s="37" t="s">
        <v>11</v>
      </c>
      <c r="M93" s="3">
        <v>10</v>
      </c>
      <c r="N93" s="3">
        <v>0</v>
      </c>
      <c r="O93" s="3">
        <f>IF(AND(pannello!$AA$12&gt;=7,pannello!$AA$12&lt;=11),ROUNDDOWN($X$27/2,0),$X$27/2)</f>
        <v>36</v>
      </c>
      <c r="P93" s="3">
        <v>13</v>
      </c>
      <c r="Q93" s="3">
        <v>18</v>
      </c>
      <c r="R93" s="3">
        <v>28</v>
      </c>
      <c r="S93" s="3">
        <v>-2</v>
      </c>
      <c r="T93" s="5" t="s">
        <v>11</v>
      </c>
      <c r="U93" s="3">
        <v>-11</v>
      </c>
      <c r="V93" s="3">
        <v>-11</v>
      </c>
      <c r="W93" s="3">
        <v>-20</v>
      </c>
      <c r="X93" s="3">
        <v>0</v>
      </c>
      <c r="Y93" s="3">
        <v>-32</v>
      </c>
      <c r="Z93" s="3">
        <v>-43</v>
      </c>
      <c r="AA93" s="3">
        <v>-59</v>
      </c>
      <c r="AB93" s="3">
        <v>-75</v>
      </c>
      <c r="AC93" s="3">
        <v>-102</v>
      </c>
      <c r="AD93" s="3">
        <v>-120</v>
      </c>
      <c r="AE93" s="3">
        <v>-146</v>
      </c>
      <c r="AF93" s="3">
        <v>-174</v>
      </c>
      <c r="AG93" s="3">
        <v>-210</v>
      </c>
      <c r="AH93" s="3">
        <v>-274</v>
      </c>
      <c r="AI93" s="3">
        <v>-360</v>
      </c>
      <c r="AJ93" s="5">
        <v>-490</v>
      </c>
      <c r="AK93" s="78" t="str">
        <f>IF(AND(pannello!$U$12&gt;B93,pannello!$U$12&lt;=C93),A93,"")</f>
        <v/>
      </c>
      <c r="AL93" s="80"/>
      <c r="AM93" s="83">
        <v>2</v>
      </c>
      <c r="AN93" s="3">
        <v>3</v>
      </c>
      <c r="AO93" s="3">
        <v>5</v>
      </c>
      <c r="AP93" s="3">
        <v>6</v>
      </c>
      <c r="AQ93" s="3">
        <v>11</v>
      </c>
      <c r="AR93" s="84">
        <v>16</v>
      </c>
      <c r="AS93" t="str">
        <f>IF(AND(pannello!$U$12&gt;B93,pannello!$U$12&lt;=C93),A93,"")</f>
        <v/>
      </c>
      <c r="AW93" s="55">
        <v>65</v>
      </c>
      <c r="AX93" s="3">
        <v>80</v>
      </c>
    </row>
    <row r="94" spans="1:50" x14ac:dyDescent="0.25">
      <c r="A94" s="76">
        <v>12</v>
      </c>
      <c r="B94" s="72">
        <v>80</v>
      </c>
      <c r="C94" s="73">
        <v>100</v>
      </c>
      <c r="D94" s="3">
        <v>380</v>
      </c>
      <c r="E94" s="3">
        <v>220</v>
      </c>
      <c r="F94" s="3">
        <v>170</v>
      </c>
      <c r="G94" s="37" t="s">
        <v>11</v>
      </c>
      <c r="H94" s="3">
        <v>120</v>
      </c>
      <c r="I94" s="3">
        <v>72</v>
      </c>
      <c r="J94" s="37" t="s">
        <v>11</v>
      </c>
      <c r="K94" s="3">
        <v>36</v>
      </c>
      <c r="L94" s="37" t="s">
        <v>11</v>
      </c>
      <c r="M94" s="3">
        <v>12</v>
      </c>
      <c r="N94" s="3">
        <v>0</v>
      </c>
      <c r="O94" s="3">
        <f>IF(AND(pannello!$AA$12&gt;=7,pannello!$AA$12&lt;=11),ROUNDDOWN($X$27/2,0),$X$27/2)</f>
        <v>36</v>
      </c>
      <c r="P94" s="3">
        <v>16</v>
      </c>
      <c r="Q94" s="3">
        <v>22</v>
      </c>
      <c r="R94" s="3">
        <v>34</v>
      </c>
      <c r="S94" s="3">
        <v>-3</v>
      </c>
      <c r="T94" s="5" t="s">
        <v>11</v>
      </c>
      <c r="U94" s="3">
        <v>-13</v>
      </c>
      <c r="V94" s="3">
        <v>-13</v>
      </c>
      <c r="W94" s="3">
        <v>-23</v>
      </c>
      <c r="X94" s="3">
        <v>0</v>
      </c>
      <c r="Y94" s="3">
        <v>-37</v>
      </c>
      <c r="Z94" s="3">
        <v>-51</v>
      </c>
      <c r="AA94" s="3">
        <v>-71</v>
      </c>
      <c r="AB94" s="3">
        <v>-91</v>
      </c>
      <c r="AC94" s="3">
        <v>-124</v>
      </c>
      <c r="AD94" s="3">
        <v>-146</v>
      </c>
      <c r="AE94" s="3">
        <v>-178</v>
      </c>
      <c r="AF94" s="3">
        <v>-214</v>
      </c>
      <c r="AG94" s="3">
        <v>-258</v>
      </c>
      <c r="AH94" s="3">
        <v>-335</v>
      </c>
      <c r="AI94" s="3">
        <v>-445</v>
      </c>
      <c r="AJ94" s="5">
        <v>-585</v>
      </c>
      <c r="AK94" s="78" t="str">
        <f>IF(AND(pannello!$U$12&gt;B94,pannello!$U$12&lt;=C94),A94,"")</f>
        <v/>
      </c>
      <c r="AL94" s="80"/>
      <c r="AM94" s="83">
        <v>2</v>
      </c>
      <c r="AN94" s="3">
        <v>4</v>
      </c>
      <c r="AO94" s="3">
        <v>5</v>
      </c>
      <c r="AP94" s="3">
        <v>7</v>
      </c>
      <c r="AQ94" s="3">
        <v>13</v>
      </c>
      <c r="AR94" s="84">
        <v>19</v>
      </c>
      <c r="AS94" t="str">
        <f>IF(AND(pannello!$U$12&gt;B94,pannello!$U$12&lt;=C94),A94,"")</f>
        <v/>
      </c>
      <c r="AW94" s="55">
        <v>80</v>
      </c>
      <c r="AX94" s="3">
        <v>100</v>
      </c>
    </row>
    <row r="95" spans="1:50" x14ac:dyDescent="0.25">
      <c r="A95" s="76">
        <v>13</v>
      </c>
      <c r="B95" s="72">
        <v>100</v>
      </c>
      <c r="C95" s="73">
        <v>120</v>
      </c>
      <c r="D95" s="3">
        <v>410</v>
      </c>
      <c r="E95" s="3">
        <v>240</v>
      </c>
      <c r="F95" s="3">
        <v>180</v>
      </c>
      <c r="G95" s="37" t="s">
        <v>11</v>
      </c>
      <c r="H95" s="3">
        <v>120</v>
      </c>
      <c r="I95" s="3">
        <v>72</v>
      </c>
      <c r="J95" s="37" t="s">
        <v>11</v>
      </c>
      <c r="K95" s="3">
        <v>36</v>
      </c>
      <c r="L95" s="37" t="s">
        <v>11</v>
      </c>
      <c r="M95" s="3">
        <v>12</v>
      </c>
      <c r="N95" s="3">
        <v>0</v>
      </c>
      <c r="O95" s="3">
        <f>IF(AND(pannello!$AA$12&gt;=7,pannello!$AA$12&lt;=11),ROUNDDOWN($X$27/2,0),$X$27/2)</f>
        <v>36</v>
      </c>
      <c r="P95" s="3">
        <v>16</v>
      </c>
      <c r="Q95" s="3">
        <v>22</v>
      </c>
      <c r="R95" s="3">
        <v>34</v>
      </c>
      <c r="S95" s="3">
        <v>-3</v>
      </c>
      <c r="T95" s="5" t="s">
        <v>11</v>
      </c>
      <c r="U95" s="3">
        <v>-13</v>
      </c>
      <c r="V95" s="3">
        <v>-13</v>
      </c>
      <c r="W95" s="3">
        <v>-23</v>
      </c>
      <c r="X95" s="3">
        <v>0</v>
      </c>
      <c r="Y95" s="3">
        <v>-37</v>
      </c>
      <c r="Z95" s="3">
        <v>-54</v>
      </c>
      <c r="AA95" s="3">
        <v>-79</v>
      </c>
      <c r="AB95" s="3">
        <v>-104</v>
      </c>
      <c r="AC95" s="3">
        <v>-144</v>
      </c>
      <c r="AD95" s="3">
        <v>-172</v>
      </c>
      <c r="AE95" s="3">
        <v>-210</v>
      </c>
      <c r="AF95" s="3">
        <v>-254</v>
      </c>
      <c r="AG95" s="3">
        <v>-310</v>
      </c>
      <c r="AH95" s="3">
        <v>-400</v>
      </c>
      <c r="AI95" s="3">
        <v>-525</v>
      </c>
      <c r="AJ95" s="5">
        <v>-690</v>
      </c>
      <c r="AK95" s="78" t="str">
        <f>IF(AND(pannello!$U$12&gt;B95,pannello!$U$12&lt;=C95),A95,"")</f>
        <v/>
      </c>
      <c r="AL95" s="80"/>
      <c r="AM95" s="83">
        <v>2</v>
      </c>
      <c r="AN95" s="3">
        <v>4</v>
      </c>
      <c r="AO95" s="3">
        <v>5</v>
      </c>
      <c r="AP95" s="3">
        <v>7</v>
      </c>
      <c r="AQ95" s="3">
        <v>13</v>
      </c>
      <c r="AR95" s="84">
        <v>19</v>
      </c>
      <c r="AS95" t="str">
        <f>IF(AND(pannello!$U$12&gt;B95,pannello!$U$12&lt;=C95),A95,"")</f>
        <v/>
      </c>
      <c r="AW95" s="55">
        <v>100</v>
      </c>
      <c r="AX95" s="3">
        <v>120</v>
      </c>
    </row>
    <row r="96" spans="1:50" x14ac:dyDescent="0.25">
      <c r="A96" s="76">
        <v>14</v>
      </c>
      <c r="B96" s="72">
        <v>120</v>
      </c>
      <c r="C96" s="73">
        <v>140</v>
      </c>
      <c r="D96" s="3">
        <v>460</v>
      </c>
      <c r="E96" s="3">
        <v>260</v>
      </c>
      <c r="F96" s="3">
        <v>200</v>
      </c>
      <c r="G96" s="37" t="s">
        <v>11</v>
      </c>
      <c r="H96" s="3">
        <v>145</v>
      </c>
      <c r="I96" s="3">
        <v>85</v>
      </c>
      <c r="J96" s="37" t="s">
        <v>11</v>
      </c>
      <c r="K96" s="3">
        <v>43</v>
      </c>
      <c r="L96" s="37" t="s">
        <v>11</v>
      </c>
      <c r="M96" s="3">
        <v>14</v>
      </c>
      <c r="N96" s="3">
        <v>0</v>
      </c>
      <c r="O96" s="3">
        <f>IF(AND(pannello!$AA$12&gt;=7,pannello!$AA$12&lt;=11),ROUNDDOWN($X$27/2,0),$X$27/2)</f>
        <v>36</v>
      </c>
      <c r="P96" s="3">
        <v>18</v>
      </c>
      <c r="Q96" s="3">
        <v>26</v>
      </c>
      <c r="R96" s="3">
        <v>41</v>
      </c>
      <c r="S96" s="3">
        <v>-3</v>
      </c>
      <c r="T96" s="5" t="s">
        <v>11</v>
      </c>
      <c r="U96" s="3">
        <v>-15</v>
      </c>
      <c r="V96" s="3">
        <v>-15</v>
      </c>
      <c r="W96" s="3">
        <v>-27</v>
      </c>
      <c r="X96" s="3">
        <v>0</v>
      </c>
      <c r="Y96" s="3">
        <v>-43</v>
      </c>
      <c r="Z96" s="3">
        <v>-63</v>
      </c>
      <c r="AA96" s="3">
        <v>-92</v>
      </c>
      <c r="AB96" s="3">
        <v>-122</v>
      </c>
      <c r="AC96" s="3">
        <v>-170</v>
      </c>
      <c r="AD96" s="3">
        <v>-202</v>
      </c>
      <c r="AE96" s="3">
        <v>-248</v>
      </c>
      <c r="AF96" s="3">
        <v>-300</v>
      </c>
      <c r="AG96" s="3">
        <v>-365</v>
      </c>
      <c r="AH96" s="3">
        <v>-470</v>
      </c>
      <c r="AI96" s="3">
        <v>-620</v>
      </c>
      <c r="AJ96" s="5">
        <v>-800</v>
      </c>
      <c r="AK96" s="78" t="str">
        <f>IF(AND(pannello!$U$12&gt;B96,pannello!$U$12&lt;=C96),A96,"")</f>
        <v/>
      </c>
      <c r="AL96" s="80"/>
      <c r="AM96" s="83">
        <v>3</v>
      </c>
      <c r="AN96" s="3">
        <v>4</v>
      </c>
      <c r="AO96" s="3">
        <v>6</v>
      </c>
      <c r="AP96" s="3">
        <v>7</v>
      </c>
      <c r="AQ96" s="3">
        <v>15</v>
      </c>
      <c r="AR96" s="84">
        <v>23</v>
      </c>
      <c r="AS96" t="str">
        <f>IF(AND(pannello!$U$12&gt;B96,pannello!$U$12&lt;=C96),A96,"")</f>
        <v/>
      </c>
      <c r="AW96" s="55">
        <v>120</v>
      </c>
      <c r="AX96" s="3">
        <v>140</v>
      </c>
    </row>
    <row r="97" spans="1:50" x14ac:dyDescent="0.25">
      <c r="A97" s="76">
        <v>15</v>
      </c>
      <c r="B97" s="72">
        <v>140</v>
      </c>
      <c r="C97" s="73">
        <v>160</v>
      </c>
      <c r="D97" s="3">
        <v>520</v>
      </c>
      <c r="E97" s="3">
        <v>280</v>
      </c>
      <c r="F97" s="3">
        <v>210</v>
      </c>
      <c r="G97" s="37" t="s">
        <v>11</v>
      </c>
      <c r="H97" s="3">
        <v>145</v>
      </c>
      <c r="I97" s="3">
        <v>85</v>
      </c>
      <c r="J97" s="37" t="s">
        <v>11</v>
      </c>
      <c r="K97" s="3">
        <v>43</v>
      </c>
      <c r="L97" s="37" t="s">
        <v>11</v>
      </c>
      <c r="M97" s="3">
        <v>14</v>
      </c>
      <c r="N97" s="3">
        <v>0</v>
      </c>
      <c r="O97" s="3">
        <f>IF(AND(pannello!$AA$12&gt;=7,pannello!$AA$12&lt;=11),ROUNDDOWN($X$27/2,0),$X$27/2)</f>
        <v>36</v>
      </c>
      <c r="P97" s="3">
        <v>18</v>
      </c>
      <c r="Q97" s="3">
        <v>26</v>
      </c>
      <c r="R97" s="3">
        <v>41</v>
      </c>
      <c r="S97" s="3">
        <v>-3</v>
      </c>
      <c r="T97" s="5" t="s">
        <v>11</v>
      </c>
      <c r="U97" s="3">
        <v>-15</v>
      </c>
      <c r="V97" s="3">
        <v>-15</v>
      </c>
      <c r="W97" s="3">
        <v>-27</v>
      </c>
      <c r="X97" s="3">
        <v>0</v>
      </c>
      <c r="Y97" s="3">
        <v>-43</v>
      </c>
      <c r="Z97" s="3">
        <v>-65</v>
      </c>
      <c r="AA97" s="3">
        <v>-100</v>
      </c>
      <c r="AB97" s="3">
        <v>-134</v>
      </c>
      <c r="AC97" s="3">
        <v>-190</v>
      </c>
      <c r="AD97" s="3">
        <v>-228</v>
      </c>
      <c r="AE97" s="3">
        <v>-280</v>
      </c>
      <c r="AF97" s="3">
        <v>-340</v>
      </c>
      <c r="AG97" s="3">
        <v>-415</v>
      </c>
      <c r="AH97" s="3">
        <v>-535</v>
      </c>
      <c r="AI97" s="3">
        <v>-700</v>
      </c>
      <c r="AJ97" s="5">
        <v>-900</v>
      </c>
      <c r="AK97" s="78" t="str">
        <f>IF(AND(pannello!$U$12&gt;B97,pannello!$U$12&lt;=C97),A97,"")</f>
        <v/>
      </c>
      <c r="AL97" s="80"/>
      <c r="AM97" s="83">
        <v>3</v>
      </c>
      <c r="AN97" s="3">
        <v>4</v>
      </c>
      <c r="AO97" s="3">
        <v>6</v>
      </c>
      <c r="AP97" s="3">
        <v>7</v>
      </c>
      <c r="AQ97" s="3">
        <v>15</v>
      </c>
      <c r="AR97" s="84">
        <v>23</v>
      </c>
      <c r="AS97" t="str">
        <f>IF(AND(pannello!$U$12&gt;B97,pannello!$U$12&lt;=C97),A97,"")</f>
        <v/>
      </c>
      <c r="AW97" s="55">
        <v>140</v>
      </c>
      <c r="AX97" s="3">
        <v>160</v>
      </c>
    </row>
    <row r="98" spans="1:50" x14ac:dyDescent="0.25">
      <c r="A98" s="76">
        <v>16</v>
      </c>
      <c r="B98" s="72">
        <v>160</v>
      </c>
      <c r="C98" s="73">
        <v>180</v>
      </c>
      <c r="D98" s="3">
        <v>580</v>
      </c>
      <c r="E98" s="3">
        <v>310</v>
      </c>
      <c r="F98" s="3">
        <v>230</v>
      </c>
      <c r="G98" s="37" t="s">
        <v>11</v>
      </c>
      <c r="H98" s="3">
        <v>145</v>
      </c>
      <c r="I98" s="3">
        <v>85</v>
      </c>
      <c r="J98" s="37" t="s">
        <v>11</v>
      </c>
      <c r="K98" s="3">
        <v>43</v>
      </c>
      <c r="L98" s="37" t="s">
        <v>11</v>
      </c>
      <c r="M98" s="3">
        <v>14</v>
      </c>
      <c r="N98" s="3">
        <v>0</v>
      </c>
      <c r="O98" s="3">
        <f>IF(AND(pannello!$AA$12&gt;=7,pannello!$AA$12&lt;=11),ROUNDDOWN($X$27/2,0),$X$27/2)</f>
        <v>36</v>
      </c>
      <c r="P98" s="3">
        <v>18</v>
      </c>
      <c r="Q98" s="3">
        <v>26</v>
      </c>
      <c r="R98" s="3">
        <v>41</v>
      </c>
      <c r="S98" s="3">
        <v>-3</v>
      </c>
      <c r="T98" s="5" t="s">
        <v>11</v>
      </c>
      <c r="U98" s="3">
        <v>-15</v>
      </c>
      <c r="V98" s="3">
        <v>-15</v>
      </c>
      <c r="W98" s="3">
        <v>-27</v>
      </c>
      <c r="X98" s="3">
        <v>0</v>
      </c>
      <c r="Y98" s="3">
        <v>-43</v>
      </c>
      <c r="Z98" s="3">
        <v>-68</v>
      </c>
      <c r="AA98" s="3">
        <v>-108</v>
      </c>
      <c r="AB98" s="3">
        <v>-146</v>
      </c>
      <c r="AC98" s="3">
        <v>-210</v>
      </c>
      <c r="AD98" s="3">
        <v>-252</v>
      </c>
      <c r="AE98" s="3">
        <v>-310</v>
      </c>
      <c r="AF98" s="3">
        <v>-380</v>
      </c>
      <c r="AG98" s="3">
        <v>-465</v>
      </c>
      <c r="AH98" s="3">
        <v>-600</v>
      </c>
      <c r="AI98" s="3">
        <v>-780</v>
      </c>
      <c r="AJ98" s="5">
        <v>-1000</v>
      </c>
      <c r="AK98" s="78" t="str">
        <f>IF(AND(pannello!$U$12&gt;B98,pannello!$U$12&lt;=C98),A98,"")</f>
        <v/>
      </c>
      <c r="AL98" s="80"/>
      <c r="AM98" s="83">
        <v>3</v>
      </c>
      <c r="AN98" s="3">
        <v>4</v>
      </c>
      <c r="AO98" s="3">
        <v>6</v>
      </c>
      <c r="AP98" s="3">
        <v>7</v>
      </c>
      <c r="AQ98" s="3">
        <v>15</v>
      </c>
      <c r="AR98" s="84">
        <v>23</v>
      </c>
      <c r="AS98" t="str">
        <f>IF(AND(pannello!$U$12&gt;B98,pannello!$U$12&lt;=C98),A98,"")</f>
        <v/>
      </c>
      <c r="AW98" s="55">
        <v>160</v>
      </c>
      <c r="AX98" s="3">
        <v>180</v>
      </c>
    </row>
    <row r="99" spans="1:50" x14ac:dyDescent="0.25">
      <c r="A99" s="76">
        <v>17</v>
      </c>
      <c r="B99" s="72">
        <v>180</v>
      </c>
      <c r="C99" s="73">
        <v>200</v>
      </c>
      <c r="D99" s="3">
        <v>660</v>
      </c>
      <c r="E99" s="3">
        <v>340</v>
      </c>
      <c r="F99" s="3">
        <v>240</v>
      </c>
      <c r="G99" s="37" t="s">
        <v>11</v>
      </c>
      <c r="H99" s="3">
        <v>170</v>
      </c>
      <c r="I99" s="3">
        <v>100</v>
      </c>
      <c r="J99" s="37" t="s">
        <v>11</v>
      </c>
      <c r="K99" s="3">
        <v>50</v>
      </c>
      <c r="L99" s="37" t="s">
        <v>11</v>
      </c>
      <c r="M99" s="3">
        <v>15</v>
      </c>
      <c r="N99" s="3">
        <v>0</v>
      </c>
      <c r="O99" s="3">
        <f>IF(AND(pannello!$AA$12&gt;=7,pannello!$AA$12&lt;=11),ROUNDDOWN($X$27/2,0),$X$27/2)</f>
        <v>36</v>
      </c>
      <c r="P99" s="3">
        <v>22</v>
      </c>
      <c r="Q99" s="3">
        <v>30</v>
      </c>
      <c r="R99" s="3">
        <v>47</v>
      </c>
      <c r="S99" s="3">
        <v>-4</v>
      </c>
      <c r="T99" s="5" t="s">
        <v>11</v>
      </c>
      <c r="U99" s="3">
        <v>-17</v>
      </c>
      <c r="V99" s="3">
        <v>-17</v>
      </c>
      <c r="W99" s="3">
        <v>-31</v>
      </c>
      <c r="X99" s="3">
        <v>0</v>
      </c>
      <c r="Y99" s="3">
        <v>-50</v>
      </c>
      <c r="Z99" s="3">
        <v>-77</v>
      </c>
      <c r="AA99" s="3">
        <v>-122</v>
      </c>
      <c r="AB99" s="3">
        <v>-166</v>
      </c>
      <c r="AC99" s="3">
        <v>-236</v>
      </c>
      <c r="AD99" s="3">
        <v>-284</v>
      </c>
      <c r="AE99" s="3">
        <v>-340</v>
      </c>
      <c r="AF99" s="3">
        <v>-425</v>
      </c>
      <c r="AG99" s="3">
        <v>-520</v>
      </c>
      <c r="AH99" s="3">
        <v>-670</v>
      </c>
      <c r="AI99" s="3">
        <v>-880</v>
      </c>
      <c r="AJ99" s="5">
        <v>-1150</v>
      </c>
      <c r="AK99" s="78" t="str">
        <f>IF(AND(pannello!$U$12&gt;B99,pannello!$U$12&lt;=C99),A99,"")</f>
        <v/>
      </c>
      <c r="AL99" s="80"/>
      <c r="AM99" s="83">
        <v>3</v>
      </c>
      <c r="AN99" s="3">
        <v>4</v>
      </c>
      <c r="AO99" s="3">
        <v>6</v>
      </c>
      <c r="AP99" s="3">
        <v>9</v>
      </c>
      <c r="AQ99" s="3">
        <v>17</v>
      </c>
      <c r="AR99" s="84">
        <v>26</v>
      </c>
      <c r="AS99" t="str">
        <f>IF(AND(pannello!$U$12&gt;B99,pannello!$U$12&lt;=C99),A99,"")</f>
        <v/>
      </c>
      <c r="AW99" s="55">
        <v>180</v>
      </c>
      <c r="AX99" s="3">
        <v>200</v>
      </c>
    </row>
    <row r="100" spans="1:50" x14ac:dyDescent="0.25">
      <c r="A100" s="76">
        <v>18</v>
      </c>
      <c r="B100" s="72">
        <v>200</v>
      </c>
      <c r="C100" s="73">
        <v>225</v>
      </c>
      <c r="D100" s="3">
        <v>740</v>
      </c>
      <c r="E100" s="3">
        <v>380</v>
      </c>
      <c r="F100" s="3">
        <v>260</v>
      </c>
      <c r="G100" s="37" t="s">
        <v>11</v>
      </c>
      <c r="H100" s="3">
        <v>170</v>
      </c>
      <c r="I100" s="3">
        <v>100</v>
      </c>
      <c r="J100" s="37" t="s">
        <v>11</v>
      </c>
      <c r="K100" s="3">
        <v>50</v>
      </c>
      <c r="L100" s="37" t="s">
        <v>11</v>
      </c>
      <c r="M100" s="3">
        <v>15</v>
      </c>
      <c r="N100" s="3">
        <v>0</v>
      </c>
      <c r="O100" s="3">
        <f>IF(AND(pannello!$AA$12&gt;=7,pannello!$AA$12&lt;=11),ROUNDDOWN($X$27/2,0),$X$27/2)</f>
        <v>36</v>
      </c>
      <c r="P100" s="3">
        <v>22</v>
      </c>
      <c r="Q100" s="3">
        <v>30</v>
      </c>
      <c r="R100" s="3">
        <v>47</v>
      </c>
      <c r="S100" s="3">
        <v>-4</v>
      </c>
      <c r="T100" s="5" t="s">
        <v>11</v>
      </c>
      <c r="U100" s="3">
        <v>-17</v>
      </c>
      <c r="V100" s="3">
        <v>-17</v>
      </c>
      <c r="W100" s="3">
        <v>-31</v>
      </c>
      <c r="X100" s="3">
        <v>0</v>
      </c>
      <c r="Y100" s="3">
        <v>-50</v>
      </c>
      <c r="Z100" s="3">
        <v>-80</v>
      </c>
      <c r="AA100" s="3">
        <v>-130</v>
      </c>
      <c r="AB100" s="3">
        <v>-180</v>
      </c>
      <c r="AC100" s="3">
        <v>-258</v>
      </c>
      <c r="AD100" s="3">
        <v>-310</v>
      </c>
      <c r="AE100" s="3">
        <v>-385</v>
      </c>
      <c r="AF100" s="3">
        <v>-470</v>
      </c>
      <c r="AG100" s="3">
        <v>-575</v>
      </c>
      <c r="AH100" s="3">
        <v>-740</v>
      </c>
      <c r="AI100" s="3">
        <v>-960</v>
      </c>
      <c r="AJ100" s="5">
        <v>-1250</v>
      </c>
      <c r="AK100" s="78" t="str">
        <f>IF(AND(pannello!$U$12&gt;B100,pannello!$U$12&lt;=C100),A100,"")</f>
        <v/>
      </c>
      <c r="AL100" s="80"/>
      <c r="AM100" s="83">
        <v>3</v>
      </c>
      <c r="AN100" s="3">
        <v>4</v>
      </c>
      <c r="AO100" s="3">
        <v>6</v>
      </c>
      <c r="AP100" s="3">
        <v>9</v>
      </c>
      <c r="AQ100" s="3">
        <v>17</v>
      </c>
      <c r="AR100" s="84">
        <v>26</v>
      </c>
      <c r="AS100" t="str">
        <f>IF(AND(pannello!$U$12&gt;B100,pannello!$U$12&lt;=C100),A100,"")</f>
        <v/>
      </c>
      <c r="AW100" s="55">
        <v>200</v>
      </c>
      <c r="AX100" s="3">
        <v>225</v>
      </c>
    </row>
    <row r="101" spans="1:50" x14ac:dyDescent="0.25">
      <c r="A101" s="76">
        <v>19</v>
      </c>
      <c r="B101" s="72">
        <v>225</v>
      </c>
      <c r="C101" s="73">
        <v>250</v>
      </c>
      <c r="D101" s="3">
        <v>820</v>
      </c>
      <c r="E101" s="3">
        <v>420</v>
      </c>
      <c r="F101" s="3">
        <v>280</v>
      </c>
      <c r="G101" s="37" t="s">
        <v>11</v>
      </c>
      <c r="H101" s="3">
        <v>170</v>
      </c>
      <c r="I101" s="3">
        <v>100</v>
      </c>
      <c r="J101" s="37" t="s">
        <v>11</v>
      </c>
      <c r="K101" s="3">
        <v>50</v>
      </c>
      <c r="L101" s="37" t="s">
        <v>11</v>
      </c>
      <c r="M101" s="3">
        <v>15</v>
      </c>
      <c r="N101" s="3">
        <v>0</v>
      </c>
      <c r="O101" s="3">
        <f>IF(AND(pannello!$AA$12&gt;=7,pannello!$AA$12&lt;=11),ROUNDDOWN($X$27/2,0),$X$27/2)</f>
        <v>36</v>
      </c>
      <c r="P101" s="3">
        <v>22</v>
      </c>
      <c r="Q101" s="3">
        <v>30</v>
      </c>
      <c r="R101" s="3">
        <v>47</v>
      </c>
      <c r="S101" s="3">
        <v>-4</v>
      </c>
      <c r="T101" s="5" t="s">
        <v>11</v>
      </c>
      <c r="U101" s="3">
        <v>-17</v>
      </c>
      <c r="V101" s="3">
        <v>-17</v>
      </c>
      <c r="W101" s="3">
        <v>-31</v>
      </c>
      <c r="X101" s="3">
        <v>0</v>
      </c>
      <c r="Y101" s="3">
        <v>-50</v>
      </c>
      <c r="Z101" s="3">
        <v>-84</v>
      </c>
      <c r="AA101" s="3">
        <v>-140</v>
      </c>
      <c r="AB101" s="3">
        <v>-196</v>
      </c>
      <c r="AC101" s="3">
        <v>-284</v>
      </c>
      <c r="AD101" s="3">
        <v>-340</v>
      </c>
      <c r="AE101" s="3">
        <v>-425</v>
      </c>
      <c r="AF101" s="3">
        <v>-520</v>
      </c>
      <c r="AG101" s="3">
        <v>-640</v>
      </c>
      <c r="AH101" s="3">
        <v>-820</v>
      </c>
      <c r="AI101" s="3">
        <v>-1050</v>
      </c>
      <c r="AJ101" s="5">
        <v>-1350</v>
      </c>
      <c r="AK101" s="78">
        <f>IF(AND(pannello!$U$12&gt;B101,pannello!$U$12&lt;=C101),A101,"")</f>
        <v>19</v>
      </c>
      <c r="AL101" s="80"/>
      <c r="AM101" s="83">
        <v>3</v>
      </c>
      <c r="AN101" s="3">
        <v>4</v>
      </c>
      <c r="AO101" s="3">
        <v>6</v>
      </c>
      <c r="AP101" s="3">
        <v>9</v>
      </c>
      <c r="AQ101" s="3">
        <v>17</v>
      </c>
      <c r="AR101" s="84">
        <v>26</v>
      </c>
      <c r="AS101">
        <f>IF(AND(pannello!$U$12&gt;B101,pannello!$U$12&lt;=C101),A101,"")</f>
        <v>19</v>
      </c>
      <c r="AW101" s="55">
        <v>225</v>
      </c>
      <c r="AX101" s="3">
        <v>250</v>
      </c>
    </row>
    <row r="102" spans="1:50" x14ac:dyDescent="0.25">
      <c r="A102" s="76">
        <v>20</v>
      </c>
      <c r="B102" s="72">
        <v>250</v>
      </c>
      <c r="C102" s="73">
        <v>280</v>
      </c>
      <c r="D102" s="3">
        <v>920</v>
      </c>
      <c r="E102" s="3">
        <v>480</v>
      </c>
      <c r="F102" s="3">
        <v>300</v>
      </c>
      <c r="G102" s="37" t="s">
        <v>11</v>
      </c>
      <c r="H102" s="3">
        <v>190</v>
      </c>
      <c r="I102" s="3">
        <v>110</v>
      </c>
      <c r="J102" s="37" t="s">
        <v>11</v>
      </c>
      <c r="K102" s="3">
        <v>56</v>
      </c>
      <c r="L102" s="37" t="s">
        <v>11</v>
      </c>
      <c r="M102" s="3">
        <v>17</v>
      </c>
      <c r="N102" s="3">
        <v>0</v>
      </c>
      <c r="O102" s="3">
        <f>IF(AND(pannello!$AA$12&gt;=7,pannello!$AA$12&lt;=11),ROUNDDOWN($X$27/2,0),$X$27/2)</f>
        <v>36</v>
      </c>
      <c r="P102" s="3">
        <v>25</v>
      </c>
      <c r="Q102" s="3">
        <v>36</v>
      </c>
      <c r="R102" s="3">
        <v>55</v>
      </c>
      <c r="S102" s="3">
        <v>-4</v>
      </c>
      <c r="T102" s="5" t="s">
        <v>11</v>
      </c>
      <c r="U102" s="3">
        <v>-20</v>
      </c>
      <c r="V102" s="3">
        <v>-20</v>
      </c>
      <c r="W102" s="3">
        <v>-34</v>
      </c>
      <c r="X102" s="3">
        <v>0</v>
      </c>
      <c r="Y102" s="3">
        <v>-56</v>
      </c>
      <c r="Z102" s="3">
        <v>-94</v>
      </c>
      <c r="AA102" s="3">
        <v>-158</v>
      </c>
      <c r="AB102" s="3">
        <v>-218</v>
      </c>
      <c r="AC102" s="3">
        <v>-315</v>
      </c>
      <c r="AD102" s="3">
        <v>-385</v>
      </c>
      <c r="AE102" s="3">
        <v>-475</v>
      </c>
      <c r="AF102" s="3">
        <v>-580</v>
      </c>
      <c r="AG102" s="3">
        <v>-710</v>
      </c>
      <c r="AH102" s="3">
        <v>-920</v>
      </c>
      <c r="AI102" s="3">
        <v>-1200</v>
      </c>
      <c r="AJ102" s="5">
        <v>-1550</v>
      </c>
      <c r="AK102" s="78" t="str">
        <f>IF(AND(pannello!$U$12&gt;B102,pannello!$U$12&lt;=C102),A102,"")</f>
        <v/>
      </c>
      <c r="AL102" s="80"/>
      <c r="AM102" s="83">
        <v>4</v>
      </c>
      <c r="AN102" s="3">
        <v>4</v>
      </c>
      <c r="AO102" s="3">
        <v>7</v>
      </c>
      <c r="AP102" s="3">
        <f>IF(AND(pannello!Q12="M",pannello!R12=6),11,9)</f>
        <v>9</v>
      </c>
      <c r="AQ102" s="3">
        <v>20</v>
      </c>
      <c r="AR102" s="84">
        <v>29</v>
      </c>
      <c r="AS102" t="str">
        <f>IF(AND(pannello!$U$12&gt;B102,pannello!$U$12&lt;=C102),A102,"")</f>
        <v/>
      </c>
      <c r="AW102" s="55">
        <v>250</v>
      </c>
      <c r="AX102" s="3">
        <v>280</v>
      </c>
    </row>
    <row r="103" spans="1:50" x14ac:dyDescent="0.25">
      <c r="A103" s="76">
        <v>21</v>
      </c>
      <c r="B103" s="72">
        <v>280</v>
      </c>
      <c r="C103" s="73">
        <v>315</v>
      </c>
      <c r="D103" s="3">
        <v>1050</v>
      </c>
      <c r="E103" s="3">
        <v>540</v>
      </c>
      <c r="F103" s="3">
        <v>330</v>
      </c>
      <c r="G103" s="37" t="s">
        <v>11</v>
      </c>
      <c r="H103" s="3">
        <v>190</v>
      </c>
      <c r="I103" s="3">
        <v>110</v>
      </c>
      <c r="J103" s="37" t="s">
        <v>11</v>
      </c>
      <c r="K103" s="3">
        <v>56</v>
      </c>
      <c r="L103" s="37" t="s">
        <v>11</v>
      </c>
      <c r="M103" s="3">
        <v>17</v>
      </c>
      <c r="N103" s="3">
        <v>0</v>
      </c>
      <c r="O103" s="3">
        <f>IF(AND(pannello!$AA$12&gt;=7,pannello!$AA$12&lt;=11),ROUNDDOWN($X$27/2,0),$X$27/2)</f>
        <v>36</v>
      </c>
      <c r="P103" s="3">
        <v>25</v>
      </c>
      <c r="Q103" s="3">
        <v>36</v>
      </c>
      <c r="R103" s="3">
        <v>55</v>
      </c>
      <c r="S103" s="3">
        <v>-4</v>
      </c>
      <c r="T103" s="5" t="s">
        <v>11</v>
      </c>
      <c r="U103" s="3">
        <v>-20</v>
      </c>
      <c r="V103" s="3">
        <v>-20</v>
      </c>
      <c r="W103" s="3">
        <v>-34</v>
      </c>
      <c r="X103" s="3">
        <v>0</v>
      </c>
      <c r="Y103" s="3">
        <v>-56</v>
      </c>
      <c r="Z103" s="3">
        <v>-98</v>
      </c>
      <c r="AA103" s="3">
        <v>-170</v>
      </c>
      <c r="AB103" s="3">
        <v>-240</v>
      </c>
      <c r="AC103" s="3">
        <v>-350</v>
      </c>
      <c r="AD103" s="3">
        <v>-425</v>
      </c>
      <c r="AE103" s="3">
        <v>-525</v>
      </c>
      <c r="AF103" s="3">
        <v>-650</v>
      </c>
      <c r="AG103" s="3">
        <v>-790</v>
      </c>
      <c r="AH103" s="3">
        <v>-1000</v>
      </c>
      <c r="AI103" s="3">
        <v>-1300</v>
      </c>
      <c r="AJ103" s="5">
        <v>-1700</v>
      </c>
      <c r="AK103" s="78" t="str">
        <f>IF(AND(pannello!$U$12&gt;B103,pannello!$U$12&lt;=C103),A103,"")</f>
        <v/>
      </c>
      <c r="AL103" s="80"/>
      <c r="AM103" s="83">
        <v>4</v>
      </c>
      <c r="AN103" s="3">
        <v>4</v>
      </c>
      <c r="AO103" s="3">
        <v>7</v>
      </c>
      <c r="AP103" s="3">
        <f>IF(AND(pannello!Q12="M",pannello!R12=6),11,9)</f>
        <v>9</v>
      </c>
      <c r="AQ103" s="3">
        <v>20</v>
      </c>
      <c r="AR103" s="84">
        <v>29</v>
      </c>
      <c r="AS103" t="str">
        <f>IF(AND(pannello!$U$12&gt;B103,pannello!$U$12&lt;=C103),A103,"")</f>
        <v/>
      </c>
      <c r="AW103" s="55">
        <v>280</v>
      </c>
      <c r="AX103" s="3">
        <v>315</v>
      </c>
    </row>
    <row r="104" spans="1:50" x14ac:dyDescent="0.25">
      <c r="A104" s="76">
        <v>22</v>
      </c>
      <c r="B104" s="72">
        <v>315</v>
      </c>
      <c r="C104" s="73">
        <v>355</v>
      </c>
      <c r="D104" s="3">
        <v>1200</v>
      </c>
      <c r="E104" s="3">
        <v>600</v>
      </c>
      <c r="F104" s="3">
        <v>360</v>
      </c>
      <c r="G104" s="37" t="s">
        <v>11</v>
      </c>
      <c r="H104" s="3">
        <v>210</v>
      </c>
      <c r="I104" s="3">
        <v>125</v>
      </c>
      <c r="J104" s="37" t="s">
        <v>11</v>
      </c>
      <c r="K104" s="3">
        <v>62</v>
      </c>
      <c r="L104" s="37" t="s">
        <v>11</v>
      </c>
      <c r="M104" s="3">
        <v>18</v>
      </c>
      <c r="N104" s="3">
        <v>0</v>
      </c>
      <c r="O104" s="3">
        <f>IF(AND(pannello!$AA$12&gt;=7,pannello!$AA$12&lt;=11),ROUNDDOWN($X$27/2,0),$X$27/2)</f>
        <v>36</v>
      </c>
      <c r="P104" s="3">
        <v>29</v>
      </c>
      <c r="Q104" s="3">
        <v>39</v>
      </c>
      <c r="R104" s="3">
        <v>60</v>
      </c>
      <c r="S104" s="3">
        <v>-4</v>
      </c>
      <c r="T104" s="5" t="s">
        <v>11</v>
      </c>
      <c r="U104" s="3">
        <v>-21</v>
      </c>
      <c r="V104" s="3">
        <v>-21</v>
      </c>
      <c r="W104" s="3">
        <v>-37</v>
      </c>
      <c r="X104" s="3">
        <v>0</v>
      </c>
      <c r="Y104" s="3">
        <v>-62</v>
      </c>
      <c r="Z104" s="3">
        <v>-108</v>
      </c>
      <c r="AA104" s="3">
        <v>-190</v>
      </c>
      <c r="AB104" s="3">
        <v>-268</v>
      </c>
      <c r="AC104" s="3">
        <v>-390</v>
      </c>
      <c r="AD104" s="3">
        <v>-475</v>
      </c>
      <c r="AE104" s="3">
        <v>-590</v>
      </c>
      <c r="AF104" s="3">
        <v>-730</v>
      </c>
      <c r="AG104" s="3">
        <v>-900</v>
      </c>
      <c r="AH104" s="3">
        <v>-1150</v>
      </c>
      <c r="AI104" s="3">
        <v>-1500</v>
      </c>
      <c r="AJ104" s="5">
        <v>-1900</v>
      </c>
      <c r="AK104" s="78" t="str">
        <f>IF(AND(pannello!$U$12&gt;B104,pannello!$U$12&lt;=C104),A104,"")</f>
        <v/>
      </c>
      <c r="AL104" s="80"/>
      <c r="AM104" s="83">
        <v>4</v>
      </c>
      <c r="AN104" s="3">
        <v>5</v>
      </c>
      <c r="AO104" s="3">
        <v>7</v>
      </c>
      <c r="AP104" s="3">
        <v>11</v>
      </c>
      <c r="AQ104" s="3">
        <v>21</v>
      </c>
      <c r="AR104" s="84">
        <v>32</v>
      </c>
      <c r="AS104" t="str">
        <f>IF(AND(pannello!$U$12&gt;B104,pannello!$U$12&lt;=C104),A104,"")</f>
        <v/>
      </c>
      <c r="AW104" s="55">
        <v>315</v>
      </c>
      <c r="AX104" s="3">
        <v>355</v>
      </c>
    </row>
    <row r="105" spans="1:50" x14ac:dyDescent="0.25">
      <c r="A105" s="76">
        <v>23</v>
      </c>
      <c r="B105" s="72">
        <v>355</v>
      </c>
      <c r="C105" s="73">
        <v>400</v>
      </c>
      <c r="D105" s="3">
        <v>1350</v>
      </c>
      <c r="E105" s="3">
        <v>680</v>
      </c>
      <c r="F105" s="3">
        <v>400</v>
      </c>
      <c r="G105" s="37" t="s">
        <v>11</v>
      </c>
      <c r="H105" s="3">
        <v>210</v>
      </c>
      <c r="I105" s="3">
        <v>125</v>
      </c>
      <c r="J105" s="37" t="s">
        <v>11</v>
      </c>
      <c r="K105" s="3">
        <v>62</v>
      </c>
      <c r="L105" s="37" t="s">
        <v>11</v>
      </c>
      <c r="M105" s="3">
        <v>18</v>
      </c>
      <c r="N105" s="3">
        <v>0</v>
      </c>
      <c r="O105" s="3">
        <f>IF(AND(pannello!$AA$12&gt;=7,pannello!$AA$12&lt;=11),ROUNDDOWN($X$27/2,0),$X$27/2)</f>
        <v>36</v>
      </c>
      <c r="P105" s="3">
        <v>29</v>
      </c>
      <c r="Q105" s="3">
        <v>39</v>
      </c>
      <c r="R105" s="3">
        <v>60</v>
      </c>
      <c r="S105" s="3">
        <v>-4</v>
      </c>
      <c r="T105" s="5" t="s">
        <v>11</v>
      </c>
      <c r="U105" s="3">
        <v>-21</v>
      </c>
      <c r="V105" s="3">
        <v>-21</v>
      </c>
      <c r="W105" s="3">
        <v>-37</v>
      </c>
      <c r="X105" s="3">
        <v>0</v>
      </c>
      <c r="Y105" s="3">
        <v>-62</v>
      </c>
      <c r="Z105" s="3">
        <v>-114</v>
      </c>
      <c r="AA105" s="3">
        <v>-208</v>
      </c>
      <c r="AB105" s="3">
        <v>-294</v>
      </c>
      <c r="AC105" s="3">
        <v>-435</v>
      </c>
      <c r="AD105" s="3">
        <v>-530</v>
      </c>
      <c r="AE105" s="3">
        <v>-660</v>
      </c>
      <c r="AF105" s="3">
        <v>-820</v>
      </c>
      <c r="AG105" s="3">
        <v>-1000</v>
      </c>
      <c r="AH105" s="3">
        <v>-1300</v>
      </c>
      <c r="AI105" s="3">
        <v>-1650</v>
      </c>
      <c r="AJ105" s="5">
        <v>-2100</v>
      </c>
      <c r="AK105" s="78" t="str">
        <f>IF(AND(pannello!$U$12&gt;B105,pannello!$U$12&lt;=C105),A105,"")</f>
        <v/>
      </c>
      <c r="AL105" s="80"/>
      <c r="AM105" s="83">
        <v>4</v>
      </c>
      <c r="AN105" s="3">
        <v>5</v>
      </c>
      <c r="AO105" s="3">
        <v>7</v>
      </c>
      <c r="AP105" s="3">
        <v>11</v>
      </c>
      <c r="AQ105" s="3">
        <v>21</v>
      </c>
      <c r="AR105" s="84">
        <v>32</v>
      </c>
      <c r="AS105" t="str">
        <f>IF(AND(pannello!$U$12&gt;B105,pannello!$U$12&lt;=C105),A105,"")</f>
        <v/>
      </c>
      <c r="AW105" s="55">
        <v>355</v>
      </c>
      <c r="AX105" s="3">
        <v>400</v>
      </c>
    </row>
    <row r="106" spans="1:50" x14ac:dyDescent="0.25">
      <c r="A106" s="76">
        <v>24</v>
      </c>
      <c r="B106" s="72">
        <v>400</v>
      </c>
      <c r="C106" s="73">
        <v>450</v>
      </c>
      <c r="D106" s="3">
        <v>1500</v>
      </c>
      <c r="E106" s="3">
        <v>760</v>
      </c>
      <c r="F106" s="3">
        <v>440</v>
      </c>
      <c r="G106" s="37" t="s">
        <v>11</v>
      </c>
      <c r="H106" s="3">
        <v>230</v>
      </c>
      <c r="I106" s="3">
        <v>135</v>
      </c>
      <c r="J106" s="37" t="s">
        <v>11</v>
      </c>
      <c r="K106" s="3">
        <v>68</v>
      </c>
      <c r="L106" s="37" t="s">
        <v>11</v>
      </c>
      <c r="M106" s="3">
        <v>20</v>
      </c>
      <c r="N106" s="3">
        <v>0</v>
      </c>
      <c r="O106" s="3">
        <f>IF(AND(pannello!$AA$12&gt;=7,pannello!$AA$12&lt;=11),ROUNDDOWN($X$27/2,0),$X$27/2)</f>
        <v>36</v>
      </c>
      <c r="P106" s="3">
        <v>33</v>
      </c>
      <c r="Q106" s="3">
        <v>43</v>
      </c>
      <c r="R106" s="3">
        <v>66</v>
      </c>
      <c r="S106" s="3">
        <v>-5</v>
      </c>
      <c r="T106" s="5" t="s">
        <v>11</v>
      </c>
      <c r="U106" s="3">
        <v>-23</v>
      </c>
      <c r="V106" s="3">
        <v>-23</v>
      </c>
      <c r="W106" s="3">
        <v>-40</v>
      </c>
      <c r="X106" s="3">
        <v>0</v>
      </c>
      <c r="Y106" s="3">
        <v>-68</v>
      </c>
      <c r="Z106" s="3">
        <v>-126</v>
      </c>
      <c r="AA106" s="3">
        <v>-232</v>
      </c>
      <c r="AB106" s="3">
        <v>-330</v>
      </c>
      <c r="AC106" s="3">
        <v>-490</v>
      </c>
      <c r="AD106" s="3">
        <v>-595</v>
      </c>
      <c r="AE106" s="3">
        <v>-740</v>
      </c>
      <c r="AF106" s="3">
        <v>-920</v>
      </c>
      <c r="AG106" s="3">
        <v>-1100</v>
      </c>
      <c r="AH106" s="3">
        <v>-1450</v>
      </c>
      <c r="AI106" s="3">
        <v>-1850</v>
      </c>
      <c r="AJ106" s="5">
        <v>-2400</v>
      </c>
      <c r="AK106" s="78" t="str">
        <f>IF(AND(pannello!$U$12&gt;B106,pannello!$U$12&lt;=C106),A106,"")</f>
        <v/>
      </c>
      <c r="AL106" s="80"/>
      <c r="AM106" s="83">
        <v>5</v>
      </c>
      <c r="AN106" s="3">
        <v>5</v>
      </c>
      <c r="AO106" s="3">
        <v>7</v>
      </c>
      <c r="AP106" s="3">
        <v>13</v>
      </c>
      <c r="AQ106" s="3">
        <v>23</v>
      </c>
      <c r="AR106" s="84">
        <v>34</v>
      </c>
      <c r="AS106" t="str">
        <f>IF(AND(pannello!$U$12&gt;B106,pannello!$U$12&lt;=C106),A106,"")</f>
        <v/>
      </c>
      <c r="AW106" s="55">
        <v>400</v>
      </c>
      <c r="AX106" s="3">
        <v>450</v>
      </c>
    </row>
    <row r="107" spans="1:50" ht="13.8" thickBot="1" x14ac:dyDescent="0.3">
      <c r="A107" s="76">
        <v>25</v>
      </c>
      <c r="B107" s="74">
        <v>450</v>
      </c>
      <c r="C107" s="75">
        <v>500</v>
      </c>
      <c r="D107" s="68">
        <v>1650</v>
      </c>
      <c r="E107" s="68">
        <v>840</v>
      </c>
      <c r="F107" s="68">
        <v>480</v>
      </c>
      <c r="G107" s="63" t="s">
        <v>11</v>
      </c>
      <c r="H107" s="68">
        <v>230</v>
      </c>
      <c r="I107" s="68">
        <v>135</v>
      </c>
      <c r="J107" s="63" t="s">
        <v>11</v>
      </c>
      <c r="K107" s="68">
        <v>68</v>
      </c>
      <c r="L107" s="45" t="s">
        <v>11</v>
      </c>
      <c r="M107" s="68">
        <v>20</v>
      </c>
      <c r="N107" s="68">
        <v>0</v>
      </c>
      <c r="O107" s="3">
        <f>IF(AND(pannello!$AA$12&gt;=7,pannello!$AA$12&lt;=11),ROUNDDOWN($X$27/2,0),$X$27/2)</f>
        <v>36</v>
      </c>
      <c r="P107" s="68">
        <v>33</v>
      </c>
      <c r="Q107" s="68">
        <v>43</v>
      </c>
      <c r="R107" s="68">
        <v>66</v>
      </c>
      <c r="S107" s="68">
        <v>-5</v>
      </c>
      <c r="T107" s="69" t="s">
        <v>11</v>
      </c>
      <c r="U107" s="67">
        <v>-23</v>
      </c>
      <c r="V107" s="68">
        <v>-23</v>
      </c>
      <c r="W107" s="68">
        <v>-40</v>
      </c>
      <c r="X107" s="68">
        <v>0</v>
      </c>
      <c r="Y107" s="68">
        <v>-68</v>
      </c>
      <c r="Z107" s="68">
        <v>-132</v>
      </c>
      <c r="AA107" s="68">
        <v>-252</v>
      </c>
      <c r="AB107" s="68">
        <v>-360</v>
      </c>
      <c r="AC107" s="68">
        <v>-540</v>
      </c>
      <c r="AD107" s="68">
        <v>-660</v>
      </c>
      <c r="AE107" s="68">
        <v>-820</v>
      </c>
      <c r="AF107" s="68">
        <v>-1000</v>
      </c>
      <c r="AG107" s="68">
        <v>-1250</v>
      </c>
      <c r="AH107" s="68">
        <v>-1600</v>
      </c>
      <c r="AI107" s="68">
        <v>-2100</v>
      </c>
      <c r="AJ107" s="69">
        <v>-2600</v>
      </c>
      <c r="AK107" s="78" t="str">
        <f>IF(AND(pannello!$U$12&gt;B107,pannello!$U$12&lt;=C107),A107,"")</f>
        <v/>
      </c>
      <c r="AL107" s="80"/>
      <c r="AM107" s="85">
        <v>5</v>
      </c>
      <c r="AN107" s="68">
        <v>5</v>
      </c>
      <c r="AO107" s="68">
        <v>7</v>
      </c>
      <c r="AP107" s="68">
        <v>13</v>
      </c>
      <c r="AQ107" s="68">
        <v>23</v>
      </c>
      <c r="AR107" s="86">
        <v>34</v>
      </c>
      <c r="AS107" t="str">
        <f>IF(AND(pannello!$U$12&gt;B107,pannello!$U$12&lt;=C107),A107,"")</f>
        <v/>
      </c>
      <c r="AW107" s="59">
        <v>450</v>
      </c>
      <c r="AX107" s="26">
        <v>500</v>
      </c>
    </row>
    <row r="108" spans="1:50" x14ac:dyDescent="0.25">
      <c r="A108" s="76">
        <v>26</v>
      </c>
      <c r="B108" s="64">
        <v>500</v>
      </c>
      <c r="C108" s="65">
        <v>560</v>
      </c>
      <c r="D108" s="66" t="s">
        <v>11</v>
      </c>
      <c r="E108" s="62" t="s">
        <v>11</v>
      </c>
      <c r="F108" s="62" t="s">
        <v>11</v>
      </c>
      <c r="G108" s="62" t="s">
        <v>11</v>
      </c>
      <c r="H108" s="62">
        <v>260</v>
      </c>
      <c r="I108" s="62">
        <v>145</v>
      </c>
      <c r="J108" s="62" t="s">
        <v>11</v>
      </c>
      <c r="K108" s="62">
        <v>76</v>
      </c>
      <c r="L108" s="62" t="s">
        <v>11</v>
      </c>
      <c r="M108" s="62">
        <v>-22</v>
      </c>
      <c r="N108" s="62">
        <v>0</v>
      </c>
      <c r="O108" s="3">
        <f>IF(AND(pannello!$AA$12&gt;=7,pannello!$AA$12&lt;=11),ROUNDDOWN($X$27/2,0),$X$27/2)</f>
        <v>36</v>
      </c>
      <c r="P108" s="62" t="s">
        <v>11</v>
      </c>
      <c r="Q108" s="62" t="s">
        <v>11</v>
      </c>
      <c r="R108" s="62" t="s">
        <v>11</v>
      </c>
      <c r="S108" s="62">
        <v>0</v>
      </c>
      <c r="T108" s="62" t="s">
        <v>11</v>
      </c>
      <c r="U108" s="62">
        <v>-26</v>
      </c>
      <c r="V108" s="62">
        <v>-26</v>
      </c>
      <c r="W108" s="62">
        <v>-44</v>
      </c>
      <c r="X108" s="62">
        <v>-44</v>
      </c>
      <c r="Y108" s="62">
        <v>-78</v>
      </c>
      <c r="Z108" s="62">
        <v>-150</v>
      </c>
      <c r="AA108" s="62">
        <v>-280</v>
      </c>
      <c r="AB108" s="62">
        <v>-400</v>
      </c>
      <c r="AC108" s="62">
        <v>-600</v>
      </c>
      <c r="AD108" s="62" t="s">
        <v>11</v>
      </c>
      <c r="AE108" s="62" t="s">
        <v>11</v>
      </c>
      <c r="AF108" s="62" t="s">
        <v>11</v>
      </c>
      <c r="AG108" s="62" t="s">
        <v>11</v>
      </c>
      <c r="AH108" s="62" t="s">
        <v>11</v>
      </c>
      <c r="AI108" s="62" t="s">
        <v>11</v>
      </c>
      <c r="AJ108" s="62" t="s">
        <v>11</v>
      </c>
      <c r="AK108" s="78" t="str">
        <f>IF(AND(pannello!$U$12&gt;B108,pannello!$U$12&lt;=C108),A108,"")</f>
        <v/>
      </c>
      <c r="AM108" s="21" t="str">
        <f>IF(pannello!$R$12=AM82,AM79,"")</f>
        <v/>
      </c>
      <c r="AN108" s="21" t="str">
        <f>IF(pannello!$R$12=AN82,AN79,"")</f>
        <v/>
      </c>
      <c r="AO108" s="21" t="str">
        <f>IF(pannello!$R$12=AO82,AO79,"")</f>
        <v/>
      </c>
      <c r="AP108" s="21" t="str">
        <f>IF(pannello!$R$12=AP82,AP79,"")</f>
        <v/>
      </c>
      <c r="AQ108" s="21" t="str">
        <f>IF(pannello!$R$12=AQ82,AQ79,"")</f>
        <v/>
      </c>
      <c r="AR108" s="21">
        <f>IF(pannello!$R$12=AR82,AR79,"")</f>
        <v>6</v>
      </c>
      <c r="AS108">
        <f>SUM(AS83:AS107)</f>
        <v>19</v>
      </c>
      <c r="AT108">
        <f>SUM(AM108:AR108)</f>
        <v>6</v>
      </c>
      <c r="AU108">
        <f>IF(AT108&gt;0,INDEX(delta,AS108,AT108),0)</f>
        <v>26</v>
      </c>
    </row>
    <row r="109" spans="1:50" x14ac:dyDescent="0.25">
      <c r="A109" s="76">
        <v>27</v>
      </c>
      <c r="B109" s="51">
        <v>560</v>
      </c>
      <c r="C109" s="52">
        <v>630</v>
      </c>
      <c r="D109" s="42" t="s">
        <v>11</v>
      </c>
      <c r="E109" s="37" t="s">
        <v>11</v>
      </c>
      <c r="F109" s="37" t="s">
        <v>11</v>
      </c>
      <c r="G109" s="37" t="s">
        <v>11</v>
      </c>
      <c r="H109" s="37">
        <v>260</v>
      </c>
      <c r="I109" s="37">
        <v>145</v>
      </c>
      <c r="J109" s="37" t="s">
        <v>11</v>
      </c>
      <c r="K109" s="37">
        <v>76</v>
      </c>
      <c r="L109" s="37" t="s">
        <v>11</v>
      </c>
      <c r="M109" s="37">
        <v>-22</v>
      </c>
      <c r="N109" s="37">
        <v>0</v>
      </c>
      <c r="O109" s="3">
        <f>IF(AND(pannello!$AA$12&gt;=7,pannello!$AA$12&lt;=11),ROUNDDOWN($X$27/2,0),$X$27/2)</f>
        <v>36</v>
      </c>
      <c r="P109" s="37" t="s">
        <v>11</v>
      </c>
      <c r="Q109" s="37" t="s">
        <v>11</v>
      </c>
      <c r="R109" s="37" t="s">
        <v>11</v>
      </c>
      <c r="S109" s="62">
        <v>0</v>
      </c>
      <c r="T109" s="37" t="s">
        <v>11</v>
      </c>
      <c r="U109" s="37">
        <v>-26</v>
      </c>
      <c r="V109" s="37">
        <v>-26</v>
      </c>
      <c r="W109" s="37">
        <v>-44</v>
      </c>
      <c r="X109" s="37">
        <v>-44</v>
      </c>
      <c r="Y109" s="37">
        <v>-78</v>
      </c>
      <c r="Z109" s="37">
        <v>-155</v>
      </c>
      <c r="AA109" s="37">
        <v>-310</v>
      </c>
      <c r="AB109" s="37">
        <v>-450</v>
      </c>
      <c r="AC109" s="37">
        <v>-660</v>
      </c>
      <c r="AD109" s="37" t="s">
        <v>11</v>
      </c>
      <c r="AE109" s="37" t="s">
        <v>11</v>
      </c>
      <c r="AF109" s="37" t="s">
        <v>11</v>
      </c>
      <c r="AG109" s="37" t="s">
        <v>11</v>
      </c>
      <c r="AH109" s="37" t="s">
        <v>11</v>
      </c>
      <c r="AI109" s="37" t="s">
        <v>11</v>
      </c>
      <c r="AJ109" s="37" t="s">
        <v>11</v>
      </c>
      <c r="AK109" s="78" t="str">
        <f>IF(AND(pannello!$U$12&gt;B109,pannello!$U$12&lt;=C109),A109,"")</f>
        <v/>
      </c>
    </row>
    <row r="110" spans="1:50" x14ac:dyDescent="0.25">
      <c r="A110" s="76">
        <v>28</v>
      </c>
      <c r="B110" s="51">
        <v>630</v>
      </c>
      <c r="C110" s="52">
        <v>710</v>
      </c>
      <c r="D110" s="42" t="s">
        <v>11</v>
      </c>
      <c r="E110" s="37" t="s">
        <v>11</v>
      </c>
      <c r="F110" s="37" t="s">
        <v>11</v>
      </c>
      <c r="G110" s="37" t="s">
        <v>11</v>
      </c>
      <c r="H110" s="37">
        <v>290</v>
      </c>
      <c r="I110" s="37">
        <v>160</v>
      </c>
      <c r="J110" s="37" t="s">
        <v>11</v>
      </c>
      <c r="K110" s="37">
        <v>80</v>
      </c>
      <c r="L110" s="37" t="s">
        <v>11</v>
      </c>
      <c r="M110" s="37">
        <v>-24</v>
      </c>
      <c r="N110" s="37">
        <v>0</v>
      </c>
      <c r="O110" s="3">
        <f>IF(AND(pannello!$AA$12&gt;=7,pannello!$AA$12&lt;=11),ROUNDDOWN($X$27/2,0),$X$27/2)</f>
        <v>36</v>
      </c>
      <c r="P110" s="37" t="s">
        <v>11</v>
      </c>
      <c r="Q110" s="37" t="s">
        <v>11</v>
      </c>
      <c r="R110" s="37" t="s">
        <v>11</v>
      </c>
      <c r="S110" s="62">
        <v>0</v>
      </c>
      <c r="T110" s="37" t="s">
        <v>11</v>
      </c>
      <c r="U110" s="37">
        <v>-30</v>
      </c>
      <c r="V110" s="37">
        <v>-30</v>
      </c>
      <c r="W110" s="37">
        <v>-50</v>
      </c>
      <c r="X110" s="37">
        <v>-50</v>
      </c>
      <c r="Y110" s="37">
        <v>-88</v>
      </c>
      <c r="Z110" s="37">
        <v>-175</v>
      </c>
      <c r="AA110" s="37">
        <v>-340</v>
      </c>
      <c r="AB110" s="37">
        <v>-500</v>
      </c>
      <c r="AC110" s="37">
        <v>-740</v>
      </c>
      <c r="AD110" s="37" t="s">
        <v>11</v>
      </c>
      <c r="AE110" s="37" t="s">
        <v>11</v>
      </c>
      <c r="AF110" s="37" t="s">
        <v>11</v>
      </c>
      <c r="AG110" s="37" t="s">
        <v>11</v>
      </c>
      <c r="AH110" s="37" t="s">
        <v>11</v>
      </c>
      <c r="AI110" s="37" t="s">
        <v>11</v>
      </c>
      <c r="AJ110" s="37" t="s">
        <v>11</v>
      </c>
      <c r="AK110" s="78" t="str">
        <f>IF(AND(pannello!$U$12&gt;B110,pannello!$U$12&lt;=C110),A110,"")</f>
        <v/>
      </c>
    </row>
    <row r="111" spans="1:50" x14ac:dyDescent="0.25">
      <c r="A111" s="76">
        <v>29</v>
      </c>
      <c r="B111" s="51">
        <v>710</v>
      </c>
      <c r="C111" s="52">
        <v>800</v>
      </c>
      <c r="D111" s="42" t="s">
        <v>11</v>
      </c>
      <c r="E111" s="37" t="s">
        <v>11</v>
      </c>
      <c r="F111" s="37" t="s">
        <v>11</v>
      </c>
      <c r="G111" s="37" t="s">
        <v>11</v>
      </c>
      <c r="H111" s="37">
        <v>290</v>
      </c>
      <c r="I111" s="37">
        <v>160</v>
      </c>
      <c r="J111" s="37" t="s">
        <v>11</v>
      </c>
      <c r="K111" s="37">
        <v>80</v>
      </c>
      <c r="L111" s="37" t="s">
        <v>11</v>
      </c>
      <c r="M111" s="37">
        <v>-24</v>
      </c>
      <c r="N111" s="37">
        <v>0</v>
      </c>
      <c r="O111" s="3">
        <f>IF(AND(pannello!$AA$12&gt;=7,pannello!$AA$12&lt;=11),ROUNDDOWN($X$27/2,0),$X$27/2)</f>
        <v>36</v>
      </c>
      <c r="P111" s="37" t="s">
        <v>11</v>
      </c>
      <c r="Q111" s="37" t="s">
        <v>11</v>
      </c>
      <c r="R111" s="37" t="s">
        <v>11</v>
      </c>
      <c r="S111" s="62">
        <v>0</v>
      </c>
      <c r="T111" s="37" t="s">
        <v>11</v>
      </c>
      <c r="U111" s="37">
        <v>-30</v>
      </c>
      <c r="V111" s="37">
        <v>-30</v>
      </c>
      <c r="W111" s="37">
        <v>-50</v>
      </c>
      <c r="X111" s="37">
        <v>-50</v>
      </c>
      <c r="Y111" s="37">
        <v>-88</v>
      </c>
      <c r="Z111" s="37">
        <v>-185</v>
      </c>
      <c r="AA111" s="37">
        <v>-380</v>
      </c>
      <c r="AB111" s="37">
        <v>-560</v>
      </c>
      <c r="AC111" s="37">
        <v>-840</v>
      </c>
      <c r="AD111" s="37" t="s">
        <v>11</v>
      </c>
      <c r="AE111" s="37" t="s">
        <v>11</v>
      </c>
      <c r="AF111" s="37" t="s">
        <v>11</v>
      </c>
      <c r="AG111" s="37" t="s">
        <v>11</v>
      </c>
      <c r="AH111" s="37" t="s">
        <v>11</v>
      </c>
      <c r="AI111" s="37" t="s">
        <v>11</v>
      </c>
      <c r="AJ111" s="37" t="s">
        <v>11</v>
      </c>
      <c r="AK111" s="78" t="str">
        <f>IF(AND(pannello!$U$12&gt;B111,pannello!$U$12&lt;=C111),A111,"")</f>
        <v/>
      </c>
    </row>
    <row r="112" spans="1:50" x14ac:dyDescent="0.25">
      <c r="A112" s="76">
        <v>30</v>
      </c>
      <c r="B112" s="51">
        <v>800</v>
      </c>
      <c r="C112" s="52">
        <v>900</v>
      </c>
      <c r="D112" s="42" t="s">
        <v>11</v>
      </c>
      <c r="E112" s="37" t="s">
        <v>11</v>
      </c>
      <c r="F112" s="37" t="s">
        <v>11</v>
      </c>
      <c r="G112" s="37" t="s">
        <v>11</v>
      </c>
      <c r="H112" s="37">
        <v>320</v>
      </c>
      <c r="I112" s="37">
        <v>170</v>
      </c>
      <c r="J112" s="37" t="s">
        <v>11</v>
      </c>
      <c r="K112" s="37">
        <v>86</v>
      </c>
      <c r="L112" s="37" t="s">
        <v>11</v>
      </c>
      <c r="M112" s="37">
        <v>-26</v>
      </c>
      <c r="N112" s="37">
        <v>0</v>
      </c>
      <c r="O112" s="3">
        <f>IF(AND(pannello!$AA$12&gt;=7,pannello!$AA$12&lt;=11),ROUNDDOWN($X$27/2,0),$X$27/2)</f>
        <v>36</v>
      </c>
      <c r="P112" s="37" t="s">
        <v>11</v>
      </c>
      <c r="Q112" s="37" t="s">
        <v>11</v>
      </c>
      <c r="R112" s="37" t="s">
        <v>11</v>
      </c>
      <c r="S112" s="62">
        <v>0</v>
      </c>
      <c r="T112" s="37" t="s">
        <v>11</v>
      </c>
      <c r="U112" s="37">
        <v>-34</v>
      </c>
      <c r="V112" s="37">
        <v>-34</v>
      </c>
      <c r="W112" s="37">
        <v>-56</v>
      </c>
      <c r="X112" s="37">
        <v>-56</v>
      </c>
      <c r="Y112" s="37">
        <v>-100</v>
      </c>
      <c r="Z112" s="37">
        <v>-210</v>
      </c>
      <c r="AA112" s="37">
        <v>-430</v>
      </c>
      <c r="AB112" s="37">
        <v>-620</v>
      </c>
      <c r="AC112" s="37">
        <v>-940</v>
      </c>
      <c r="AD112" s="37" t="s">
        <v>11</v>
      </c>
      <c r="AE112" s="37" t="s">
        <v>11</v>
      </c>
      <c r="AF112" s="37" t="s">
        <v>11</v>
      </c>
      <c r="AG112" s="37" t="s">
        <v>11</v>
      </c>
      <c r="AH112" s="37" t="s">
        <v>11</v>
      </c>
      <c r="AI112" s="37" t="s">
        <v>11</v>
      </c>
      <c r="AJ112" s="37" t="s">
        <v>11</v>
      </c>
      <c r="AK112" s="78" t="str">
        <f>IF(AND(pannello!$U$12&gt;B112,pannello!$U$12&lt;=C112),A112,"")</f>
        <v/>
      </c>
    </row>
    <row r="113" spans="1:42" x14ac:dyDescent="0.25">
      <c r="A113" s="76">
        <v>31</v>
      </c>
      <c r="B113" s="51">
        <v>900</v>
      </c>
      <c r="C113" s="52">
        <v>1000</v>
      </c>
      <c r="D113" s="42" t="s">
        <v>11</v>
      </c>
      <c r="E113" s="37" t="s">
        <v>11</v>
      </c>
      <c r="F113" s="37" t="s">
        <v>11</v>
      </c>
      <c r="G113" s="37" t="s">
        <v>11</v>
      </c>
      <c r="H113" s="37">
        <v>320</v>
      </c>
      <c r="I113" s="37">
        <v>170</v>
      </c>
      <c r="J113" s="37" t="s">
        <v>11</v>
      </c>
      <c r="K113" s="37">
        <v>86</v>
      </c>
      <c r="L113" s="37" t="s">
        <v>11</v>
      </c>
      <c r="M113" s="37">
        <v>-26</v>
      </c>
      <c r="N113" s="37">
        <v>0</v>
      </c>
      <c r="O113" s="3">
        <f>IF(AND(pannello!$AA$12&gt;=7,pannello!$AA$12&lt;=11),ROUNDDOWN($X$27/2,0),$X$27/2)</f>
        <v>36</v>
      </c>
      <c r="P113" s="37" t="s">
        <v>11</v>
      </c>
      <c r="Q113" s="37" t="s">
        <v>11</v>
      </c>
      <c r="R113" s="37" t="s">
        <v>11</v>
      </c>
      <c r="S113" s="62">
        <v>0</v>
      </c>
      <c r="T113" s="37" t="s">
        <v>11</v>
      </c>
      <c r="U113" s="37">
        <v>-34</v>
      </c>
      <c r="V113" s="37">
        <v>-34</v>
      </c>
      <c r="W113" s="37">
        <v>-56</v>
      </c>
      <c r="X113" s="37">
        <v>-56</v>
      </c>
      <c r="Y113" s="37">
        <v>-100</v>
      </c>
      <c r="Z113" s="37">
        <v>-220</v>
      </c>
      <c r="AA113" s="37">
        <v>-470</v>
      </c>
      <c r="AB113" s="37">
        <v>-680</v>
      </c>
      <c r="AC113" s="37">
        <v>-1050</v>
      </c>
      <c r="AD113" s="37" t="s">
        <v>11</v>
      </c>
      <c r="AE113" s="37" t="s">
        <v>11</v>
      </c>
      <c r="AF113" s="37" t="s">
        <v>11</v>
      </c>
      <c r="AG113" s="37" t="s">
        <v>11</v>
      </c>
      <c r="AH113" s="37" t="s">
        <v>11</v>
      </c>
      <c r="AI113" s="37" t="s">
        <v>11</v>
      </c>
      <c r="AJ113" s="37" t="s">
        <v>11</v>
      </c>
      <c r="AK113" s="78" t="str">
        <f>IF(AND(pannello!$U$12&gt;B113,pannello!$U$12&lt;=C113),A113,"")</f>
        <v/>
      </c>
    </row>
    <row r="114" spans="1:42" x14ac:dyDescent="0.25">
      <c r="A114" s="76">
        <v>32</v>
      </c>
      <c r="B114" s="51">
        <v>1000</v>
      </c>
      <c r="C114" s="52">
        <v>1120</v>
      </c>
      <c r="D114" s="42" t="s">
        <v>11</v>
      </c>
      <c r="E114" s="37" t="s">
        <v>11</v>
      </c>
      <c r="F114" s="37" t="s">
        <v>11</v>
      </c>
      <c r="G114" s="37" t="s">
        <v>11</v>
      </c>
      <c r="H114" s="37">
        <v>350</v>
      </c>
      <c r="I114" s="37">
        <v>195</v>
      </c>
      <c r="J114" s="37" t="s">
        <v>11</v>
      </c>
      <c r="K114" s="37">
        <v>98</v>
      </c>
      <c r="L114" s="37" t="s">
        <v>11</v>
      </c>
      <c r="M114" s="37">
        <v>-28</v>
      </c>
      <c r="N114" s="37">
        <v>0</v>
      </c>
      <c r="O114" s="3">
        <f>IF(AND(pannello!$AA$12&gt;=7,pannello!$AA$12&lt;=11),ROUNDDOWN($X$27/2,0),$X$27/2)</f>
        <v>36</v>
      </c>
      <c r="P114" s="37" t="s">
        <v>11</v>
      </c>
      <c r="Q114" s="37" t="s">
        <v>11</v>
      </c>
      <c r="R114" s="37" t="s">
        <v>11</v>
      </c>
      <c r="S114" s="62">
        <v>0</v>
      </c>
      <c r="T114" s="37" t="s">
        <v>11</v>
      </c>
      <c r="U114" s="37">
        <v>-40</v>
      </c>
      <c r="V114" s="37">
        <v>-40</v>
      </c>
      <c r="W114" s="37">
        <v>-66</v>
      </c>
      <c r="X114" s="37">
        <v>-66</v>
      </c>
      <c r="Y114" s="37">
        <v>-120</v>
      </c>
      <c r="Z114" s="37">
        <v>-250</v>
      </c>
      <c r="AA114" s="37">
        <v>-520</v>
      </c>
      <c r="AB114" s="37">
        <v>-780</v>
      </c>
      <c r="AC114" s="37">
        <v>-1150</v>
      </c>
      <c r="AD114" s="37" t="s">
        <v>11</v>
      </c>
      <c r="AE114" s="37" t="s">
        <v>11</v>
      </c>
      <c r="AF114" s="37" t="s">
        <v>11</v>
      </c>
      <c r="AG114" s="37" t="s">
        <v>11</v>
      </c>
      <c r="AH114" s="37" t="s">
        <v>11</v>
      </c>
      <c r="AI114" s="37" t="s">
        <v>11</v>
      </c>
      <c r="AJ114" s="37" t="s">
        <v>11</v>
      </c>
      <c r="AK114" s="78" t="str">
        <f>IF(AND(pannello!$U$12&gt;B114,pannello!$U$12&lt;=C114),A114,"")</f>
        <v/>
      </c>
    </row>
    <row r="115" spans="1:42" x14ac:dyDescent="0.25">
      <c r="A115" s="76">
        <v>33</v>
      </c>
      <c r="B115" s="51">
        <v>1120</v>
      </c>
      <c r="C115" s="52">
        <v>1250</v>
      </c>
      <c r="D115" s="42" t="s">
        <v>11</v>
      </c>
      <c r="E115" s="37" t="s">
        <v>11</v>
      </c>
      <c r="F115" s="37" t="s">
        <v>11</v>
      </c>
      <c r="G115" s="37" t="s">
        <v>11</v>
      </c>
      <c r="H115" s="37">
        <v>350</v>
      </c>
      <c r="I115" s="37">
        <v>195</v>
      </c>
      <c r="J115" s="37" t="s">
        <v>11</v>
      </c>
      <c r="K115" s="37">
        <v>98</v>
      </c>
      <c r="L115" s="37" t="s">
        <v>11</v>
      </c>
      <c r="M115" s="37">
        <v>-28</v>
      </c>
      <c r="N115" s="37">
        <v>0</v>
      </c>
      <c r="O115" s="3">
        <f>IF(AND(pannello!$AA$12&gt;=7,pannello!$AA$12&lt;=11),ROUNDDOWN($X$27/2,0),$X$27/2)</f>
        <v>36</v>
      </c>
      <c r="P115" s="37" t="s">
        <v>11</v>
      </c>
      <c r="Q115" s="37" t="s">
        <v>11</v>
      </c>
      <c r="R115" s="37" t="s">
        <v>11</v>
      </c>
      <c r="S115" s="62">
        <v>0</v>
      </c>
      <c r="T115" s="37" t="s">
        <v>11</v>
      </c>
      <c r="U115" s="37">
        <v>-40</v>
      </c>
      <c r="V115" s="37">
        <v>-40</v>
      </c>
      <c r="W115" s="37">
        <v>-66</v>
      </c>
      <c r="X115" s="37">
        <v>-66</v>
      </c>
      <c r="Y115" s="37">
        <v>-120</v>
      </c>
      <c r="Z115" s="37">
        <v>-260</v>
      </c>
      <c r="AA115" s="37">
        <v>-580</v>
      </c>
      <c r="AB115" s="37">
        <v>-840</v>
      </c>
      <c r="AC115" s="37">
        <v>-1300</v>
      </c>
      <c r="AD115" s="37" t="s">
        <v>11</v>
      </c>
      <c r="AE115" s="37" t="s">
        <v>11</v>
      </c>
      <c r="AF115" s="37" t="s">
        <v>11</v>
      </c>
      <c r="AG115" s="37" t="s">
        <v>11</v>
      </c>
      <c r="AH115" s="37" t="s">
        <v>11</v>
      </c>
      <c r="AI115" s="37" t="s">
        <v>11</v>
      </c>
      <c r="AJ115" s="37" t="s">
        <v>11</v>
      </c>
      <c r="AK115" s="78" t="str">
        <f>IF(AND(pannello!$U$12&gt;B115,pannello!$U$12&lt;=C115),A115,"")</f>
        <v/>
      </c>
    </row>
    <row r="116" spans="1:42" x14ac:dyDescent="0.25">
      <c r="A116" s="76">
        <v>34</v>
      </c>
      <c r="B116" s="51">
        <v>1250</v>
      </c>
      <c r="C116" s="52">
        <v>1400</v>
      </c>
      <c r="D116" s="42" t="s">
        <v>11</v>
      </c>
      <c r="E116" s="37" t="s">
        <v>11</v>
      </c>
      <c r="F116" s="37" t="s">
        <v>11</v>
      </c>
      <c r="G116" s="37" t="s">
        <v>11</v>
      </c>
      <c r="H116" s="37">
        <v>390</v>
      </c>
      <c r="I116" s="37">
        <v>220</v>
      </c>
      <c r="J116" s="37" t="s">
        <v>11</v>
      </c>
      <c r="K116" s="37">
        <v>110</v>
      </c>
      <c r="L116" s="37" t="s">
        <v>11</v>
      </c>
      <c r="M116" s="37">
        <v>-30</v>
      </c>
      <c r="N116" s="37">
        <v>0</v>
      </c>
      <c r="O116" s="3">
        <f>IF(AND(pannello!$AA$12&gt;=7,pannello!$AA$12&lt;=11),ROUNDDOWN($X$27/2,0),$X$27/2)</f>
        <v>36</v>
      </c>
      <c r="P116" s="37" t="s">
        <v>11</v>
      </c>
      <c r="Q116" s="37" t="s">
        <v>11</v>
      </c>
      <c r="R116" s="37" t="s">
        <v>11</v>
      </c>
      <c r="S116" s="62">
        <v>0</v>
      </c>
      <c r="T116" s="37" t="s">
        <v>11</v>
      </c>
      <c r="U116" s="37">
        <v>-48</v>
      </c>
      <c r="V116" s="37">
        <v>-48</v>
      </c>
      <c r="W116" s="37">
        <v>-78</v>
      </c>
      <c r="X116" s="37">
        <v>-78</v>
      </c>
      <c r="Y116" s="37">
        <v>-140</v>
      </c>
      <c r="Z116" s="37">
        <v>-300</v>
      </c>
      <c r="AA116" s="37">
        <v>-640</v>
      </c>
      <c r="AB116" s="37">
        <v>-960</v>
      </c>
      <c r="AC116" s="37">
        <v>-1450</v>
      </c>
      <c r="AD116" s="37" t="s">
        <v>11</v>
      </c>
      <c r="AE116" s="37" t="s">
        <v>11</v>
      </c>
      <c r="AF116" s="37" t="s">
        <v>11</v>
      </c>
      <c r="AG116" s="37" t="s">
        <v>11</v>
      </c>
      <c r="AH116" s="37" t="s">
        <v>11</v>
      </c>
      <c r="AI116" s="37" t="s">
        <v>11</v>
      </c>
      <c r="AJ116" s="37" t="s">
        <v>11</v>
      </c>
      <c r="AK116" s="78" t="str">
        <f>IF(AND(pannello!$U$12&gt;B116,pannello!$U$12&lt;=C116),A116,"")</f>
        <v/>
      </c>
    </row>
    <row r="117" spans="1:42" x14ac:dyDescent="0.25">
      <c r="A117" s="76">
        <v>35</v>
      </c>
      <c r="B117" s="51">
        <v>1400</v>
      </c>
      <c r="C117" s="52">
        <v>1600</v>
      </c>
      <c r="D117" s="42" t="s">
        <v>11</v>
      </c>
      <c r="E117" s="37" t="s">
        <v>11</v>
      </c>
      <c r="F117" s="37" t="s">
        <v>11</v>
      </c>
      <c r="G117" s="37" t="s">
        <v>11</v>
      </c>
      <c r="H117" s="37">
        <v>390</v>
      </c>
      <c r="I117" s="37">
        <v>220</v>
      </c>
      <c r="J117" s="37" t="s">
        <v>11</v>
      </c>
      <c r="K117" s="37">
        <v>110</v>
      </c>
      <c r="L117" s="37" t="s">
        <v>11</v>
      </c>
      <c r="M117" s="37">
        <v>-30</v>
      </c>
      <c r="N117" s="37">
        <v>0</v>
      </c>
      <c r="O117" s="3">
        <f>IF(AND(pannello!$AA$12&gt;=7,pannello!$AA$12&lt;=11),ROUNDDOWN($X$27/2,0),$X$27/2)</f>
        <v>36</v>
      </c>
      <c r="P117" s="37" t="s">
        <v>11</v>
      </c>
      <c r="Q117" s="37" t="s">
        <v>11</v>
      </c>
      <c r="R117" s="37" t="s">
        <v>11</v>
      </c>
      <c r="S117" s="62">
        <v>0</v>
      </c>
      <c r="T117" s="37" t="s">
        <v>11</v>
      </c>
      <c r="U117" s="37">
        <v>-48</v>
      </c>
      <c r="V117" s="37">
        <v>-48</v>
      </c>
      <c r="W117" s="37">
        <v>-78</v>
      </c>
      <c r="X117" s="37">
        <v>-78</v>
      </c>
      <c r="Y117" s="37">
        <v>-140</v>
      </c>
      <c r="Z117" s="37">
        <v>-330</v>
      </c>
      <c r="AA117" s="37">
        <v>-720</v>
      </c>
      <c r="AB117" s="37">
        <v>-1050</v>
      </c>
      <c r="AC117" s="37">
        <v>-1600</v>
      </c>
      <c r="AD117" s="37" t="s">
        <v>11</v>
      </c>
      <c r="AE117" s="37" t="s">
        <v>11</v>
      </c>
      <c r="AF117" s="37" t="s">
        <v>11</v>
      </c>
      <c r="AG117" s="37" t="s">
        <v>11</v>
      </c>
      <c r="AH117" s="37" t="s">
        <v>11</v>
      </c>
      <c r="AI117" s="37" t="s">
        <v>11</v>
      </c>
      <c r="AJ117" s="37" t="s">
        <v>11</v>
      </c>
      <c r="AK117" s="78" t="str">
        <f>IF(AND(pannello!$U$12&gt;B117,pannello!$U$12&lt;=C117),A117,"")</f>
        <v/>
      </c>
    </row>
    <row r="118" spans="1:42" x14ac:dyDescent="0.25">
      <c r="A118" s="76">
        <v>36</v>
      </c>
      <c r="B118" s="51">
        <v>1600</v>
      </c>
      <c r="C118" s="52">
        <v>1800</v>
      </c>
      <c r="D118" s="42" t="s">
        <v>11</v>
      </c>
      <c r="E118" s="37" t="s">
        <v>11</v>
      </c>
      <c r="F118" s="37" t="s">
        <v>11</v>
      </c>
      <c r="G118" s="37" t="s">
        <v>11</v>
      </c>
      <c r="H118" s="37">
        <v>430</v>
      </c>
      <c r="I118" s="37">
        <v>240</v>
      </c>
      <c r="J118" s="37" t="s">
        <v>11</v>
      </c>
      <c r="K118" s="37">
        <v>120</v>
      </c>
      <c r="L118" s="37" t="s">
        <v>11</v>
      </c>
      <c r="M118" s="37">
        <v>-32</v>
      </c>
      <c r="N118" s="37">
        <v>0</v>
      </c>
      <c r="O118" s="3">
        <f>IF(AND(pannello!$AA$12&gt;=7,pannello!$AA$12&lt;=11),ROUNDDOWN($X$27/2,0),$X$27/2)</f>
        <v>36</v>
      </c>
      <c r="P118" s="37" t="s">
        <v>11</v>
      </c>
      <c r="Q118" s="37" t="s">
        <v>11</v>
      </c>
      <c r="R118" s="37" t="s">
        <v>11</v>
      </c>
      <c r="S118" s="62">
        <v>0</v>
      </c>
      <c r="T118" s="37" t="s">
        <v>11</v>
      </c>
      <c r="U118" s="37">
        <v>-58</v>
      </c>
      <c r="V118" s="37">
        <v>-58</v>
      </c>
      <c r="W118" s="37">
        <v>-92</v>
      </c>
      <c r="X118" s="37">
        <v>-92</v>
      </c>
      <c r="Y118" s="37">
        <v>-170</v>
      </c>
      <c r="Z118" s="37">
        <v>-370</v>
      </c>
      <c r="AA118" s="37">
        <v>-820</v>
      </c>
      <c r="AB118" s="37">
        <v>-1200</v>
      </c>
      <c r="AC118" s="37">
        <v>-1850</v>
      </c>
      <c r="AD118" s="37" t="s">
        <v>11</v>
      </c>
      <c r="AE118" s="37" t="s">
        <v>11</v>
      </c>
      <c r="AF118" s="37" t="s">
        <v>11</v>
      </c>
      <c r="AG118" s="37" t="s">
        <v>11</v>
      </c>
      <c r="AH118" s="37" t="s">
        <v>11</v>
      </c>
      <c r="AI118" s="37" t="s">
        <v>11</v>
      </c>
      <c r="AJ118" s="37" t="s">
        <v>11</v>
      </c>
      <c r="AK118" s="78" t="str">
        <f>IF(AND(pannello!$U$12&gt;B118,pannello!$U$12&lt;=C118),A118,"")</f>
        <v/>
      </c>
    </row>
    <row r="119" spans="1:42" x14ac:dyDescent="0.25">
      <c r="A119" s="76">
        <v>37</v>
      </c>
      <c r="B119" s="51">
        <v>1800</v>
      </c>
      <c r="C119" s="52">
        <v>2000</v>
      </c>
      <c r="D119" s="42" t="s">
        <v>11</v>
      </c>
      <c r="E119" s="37" t="s">
        <v>11</v>
      </c>
      <c r="F119" s="37" t="s">
        <v>11</v>
      </c>
      <c r="G119" s="37" t="s">
        <v>11</v>
      </c>
      <c r="H119" s="37">
        <v>430</v>
      </c>
      <c r="I119" s="37">
        <v>240</v>
      </c>
      <c r="J119" s="37" t="s">
        <v>11</v>
      </c>
      <c r="K119" s="37">
        <v>120</v>
      </c>
      <c r="L119" s="37" t="s">
        <v>11</v>
      </c>
      <c r="M119" s="37">
        <v>-32</v>
      </c>
      <c r="N119" s="37">
        <v>0</v>
      </c>
      <c r="O119" s="3">
        <f>IF(AND(pannello!$AA$12&gt;=7,pannello!$AA$12&lt;=11),ROUNDDOWN($X$27/2,0),$X$27/2)</f>
        <v>36</v>
      </c>
      <c r="P119" s="37" t="s">
        <v>11</v>
      </c>
      <c r="Q119" s="37" t="s">
        <v>11</v>
      </c>
      <c r="R119" s="37" t="s">
        <v>11</v>
      </c>
      <c r="S119" s="62">
        <v>0</v>
      </c>
      <c r="T119" s="37" t="s">
        <v>11</v>
      </c>
      <c r="U119" s="37">
        <v>-58</v>
      </c>
      <c r="V119" s="37">
        <v>-58</v>
      </c>
      <c r="W119" s="37">
        <v>-92</v>
      </c>
      <c r="X119" s="37">
        <v>-92</v>
      </c>
      <c r="Y119" s="37">
        <v>-170</v>
      </c>
      <c r="Z119" s="37">
        <v>-400</v>
      </c>
      <c r="AA119" s="37">
        <v>-920</v>
      </c>
      <c r="AB119" s="37">
        <v>-1350</v>
      </c>
      <c r="AC119" s="37">
        <v>-2000</v>
      </c>
      <c r="AD119" s="37" t="s">
        <v>11</v>
      </c>
      <c r="AE119" s="37" t="s">
        <v>11</v>
      </c>
      <c r="AF119" s="37" t="s">
        <v>11</v>
      </c>
      <c r="AG119" s="37" t="s">
        <v>11</v>
      </c>
      <c r="AH119" s="37" t="s">
        <v>11</v>
      </c>
      <c r="AI119" s="37" t="s">
        <v>11</v>
      </c>
      <c r="AJ119" s="37" t="s">
        <v>11</v>
      </c>
      <c r="AK119" s="78" t="str">
        <f>IF(AND(pannello!$U$12&gt;B119,pannello!$U$12&lt;=C119),A119,"")</f>
        <v/>
      </c>
    </row>
    <row r="120" spans="1:42" x14ac:dyDescent="0.25">
      <c r="A120" s="76">
        <v>38</v>
      </c>
      <c r="B120" s="51">
        <v>2000</v>
      </c>
      <c r="C120" s="52">
        <v>2240</v>
      </c>
      <c r="D120" s="42" t="s">
        <v>11</v>
      </c>
      <c r="E120" s="37" t="s">
        <v>11</v>
      </c>
      <c r="F120" s="37" t="s">
        <v>11</v>
      </c>
      <c r="G120" s="37" t="s">
        <v>11</v>
      </c>
      <c r="H120" s="37">
        <v>480</v>
      </c>
      <c r="I120" s="37">
        <v>260</v>
      </c>
      <c r="J120" s="37" t="s">
        <v>11</v>
      </c>
      <c r="K120" s="37">
        <v>130</v>
      </c>
      <c r="L120" s="37" t="s">
        <v>11</v>
      </c>
      <c r="M120" s="37">
        <v>-34</v>
      </c>
      <c r="N120" s="37">
        <v>0</v>
      </c>
      <c r="O120" s="3">
        <f>IF(AND(pannello!$AA$12&gt;=7,pannello!$AA$12&lt;=11),ROUNDDOWN($X$27/2,0),$X$27/2)</f>
        <v>36</v>
      </c>
      <c r="P120" s="37" t="s">
        <v>11</v>
      </c>
      <c r="Q120" s="37" t="s">
        <v>11</v>
      </c>
      <c r="R120" s="37" t="s">
        <v>11</v>
      </c>
      <c r="S120" s="62">
        <v>0</v>
      </c>
      <c r="T120" s="37" t="s">
        <v>11</v>
      </c>
      <c r="U120" s="37">
        <v>-68</v>
      </c>
      <c r="V120" s="37">
        <v>-68</v>
      </c>
      <c r="W120" s="37">
        <v>-110</v>
      </c>
      <c r="X120" s="37">
        <v>-110</v>
      </c>
      <c r="Y120" s="37">
        <v>-195</v>
      </c>
      <c r="Z120" s="37">
        <v>-440</v>
      </c>
      <c r="AA120" s="37">
        <v>-1000</v>
      </c>
      <c r="AB120" s="37">
        <v>-1500</v>
      </c>
      <c r="AC120" s="37">
        <v>-2300</v>
      </c>
      <c r="AD120" s="37" t="s">
        <v>11</v>
      </c>
      <c r="AE120" s="37" t="s">
        <v>11</v>
      </c>
      <c r="AF120" s="37" t="s">
        <v>11</v>
      </c>
      <c r="AG120" s="37" t="s">
        <v>11</v>
      </c>
      <c r="AH120" s="37" t="s">
        <v>11</v>
      </c>
      <c r="AI120" s="37" t="s">
        <v>11</v>
      </c>
      <c r="AJ120" s="37" t="s">
        <v>11</v>
      </c>
      <c r="AK120" s="78" t="str">
        <f>IF(AND(pannello!$U$12&gt;B120,pannello!$U$12&lt;=C120),A120,"")</f>
        <v/>
      </c>
    </row>
    <row r="121" spans="1:42" x14ac:dyDescent="0.25">
      <c r="A121" s="76">
        <v>39</v>
      </c>
      <c r="B121" s="51">
        <v>2240</v>
      </c>
      <c r="C121" s="52">
        <v>2500</v>
      </c>
      <c r="D121" s="42" t="s">
        <v>11</v>
      </c>
      <c r="E121" s="37" t="s">
        <v>11</v>
      </c>
      <c r="F121" s="37" t="s">
        <v>11</v>
      </c>
      <c r="G121" s="37" t="s">
        <v>11</v>
      </c>
      <c r="H121" s="37">
        <v>480</v>
      </c>
      <c r="I121" s="37">
        <v>260</v>
      </c>
      <c r="J121" s="37" t="s">
        <v>11</v>
      </c>
      <c r="K121" s="37">
        <v>130</v>
      </c>
      <c r="L121" s="37" t="s">
        <v>11</v>
      </c>
      <c r="M121" s="37">
        <v>-34</v>
      </c>
      <c r="N121" s="37">
        <v>0</v>
      </c>
      <c r="O121" s="3">
        <f>IF(AND(pannello!$AA$12&gt;=7,pannello!$AA$12&lt;=11),ROUNDDOWN($X$27/2,0),$X$27/2)</f>
        <v>36</v>
      </c>
      <c r="P121" s="37" t="s">
        <v>11</v>
      </c>
      <c r="Q121" s="37" t="s">
        <v>11</v>
      </c>
      <c r="R121" s="37" t="s">
        <v>11</v>
      </c>
      <c r="S121" s="62">
        <v>0</v>
      </c>
      <c r="T121" s="37" t="s">
        <v>11</v>
      </c>
      <c r="U121" s="37">
        <v>-68</v>
      </c>
      <c r="V121" s="37">
        <v>-68</v>
      </c>
      <c r="W121" s="37">
        <v>-110</v>
      </c>
      <c r="X121" s="37">
        <v>-110</v>
      </c>
      <c r="Y121" s="37">
        <v>-195</v>
      </c>
      <c r="Z121" s="37">
        <v>-460</v>
      </c>
      <c r="AA121" s="37">
        <v>-1100</v>
      </c>
      <c r="AB121" s="37">
        <v>-1650</v>
      </c>
      <c r="AC121" s="37">
        <v>-2500</v>
      </c>
      <c r="AD121" s="37" t="s">
        <v>11</v>
      </c>
      <c r="AE121" s="37" t="s">
        <v>11</v>
      </c>
      <c r="AF121" s="37" t="s">
        <v>11</v>
      </c>
      <c r="AG121" s="37" t="s">
        <v>11</v>
      </c>
      <c r="AH121" s="37" t="s">
        <v>11</v>
      </c>
      <c r="AI121" s="37" t="s">
        <v>11</v>
      </c>
      <c r="AJ121" s="37" t="s">
        <v>11</v>
      </c>
      <c r="AK121" s="78" t="str">
        <f>IF(AND(pannello!$U$12&gt;B121,pannello!$U$12&lt;=C121),A121,"")</f>
        <v/>
      </c>
    </row>
    <row r="122" spans="1:42" x14ac:dyDescent="0.25">
      <c r="A122" s="76">
        <v>40</v>
      </c>
      <c r="B122" s="51">
        <v>2500</v>
      </c>
      <c r="C122" s="52">
        <v>2800</v>
      </c>
      <c r="D122" s="42" t="s">
        <v>11</v>
      </c>
      <c r="E122" s="37" t="s">
        <v>11</v>
      </c>
      <c r="F122" s="37" t="s">
        <v>11</v>
      </c>
      <c r="G122" s="37" t="s">
        <v>11</v>
      </c>
      <c r="H122" s="37">
        <v>520</v>
      </c>
      <c r="I122" s="37">
        <v>290</v>
      </c>
      <c r="J122" s="37" t="s">
        <v>11</v>
      </c>
      <c r="K122" s="37">
        <v>145</v>
      </c>
      <c r="L122" s="37" t="s">
        <v>11</v>
      </c>
      <c r="M122" s="37">
        <v>-38</v>
      </c>
      <c r="N122" s="37">
        <v>0</v>
      </c>
      <c r="O122" s="3">
        <f>IF(AND(pannello!$AA$12&gt;=7,pannello!$AA$12&lt;=11),ROUNDDOWN($X$27/2,0),$X$27/2)</f>
        <v>36</v>
      </c>
      <c r="P122" s="37" t="s">
        <v>11</v>
      </c>
      <c r="Q122" s="37" t="s">
        <v>11</v>
      </c>
      <c r="R122" s="37" t="s">
        <v>11</v>
      </c>
      <c r="S122" s="62">
        <v>0</v>
      </c>
      <c r="T122" s="37" t="s">
        <v>11</v>
      </c>
      <c r="U122" s="37">
        <v>-76</v>
      </c>
      <c r="V122" s="37">
        <v>-76</v>
      </c>
      <c r="W122" s="37">
        <v>-135</v>
      </c>
      <c r="X122" s="37">
        <v>-135</v>
      </c>
      <c r="Y122" s="37">
        <v>-240</v>
      </c>
      <c r="Z122" s="37">
        <v>-550</v>
      </c>
      <c r="AA122" s="37">
        <v>-1250</v>
      </c>
      <c r="AB122" s="37">
        <v>-1900</v>
      </c>
      <c r="AC122" s="37">
        <v>-2900</v>
      </c>
      <c r="AD122" s="37" t="s">
        <v>11</v>
      </c>
      <c r="AE122" s="37" t="s">
        <v>11</v>
      </c>
      <c r="AF122" s="37" t="s">
        <v>11</v>
      </c>
      <c r="AG122" s="37" t="s">
        <v>11</v>
      </c>
      <c r="AH122" s="37" t="s">
        <v>11</v>
      </c>
      <c r="AI122" s="37" t="s">
        <v>11</v>
      </c>
      <c r="AJ122" s="37" t="s">
        <v>11</v>
      </c>
      <c r="AK122" s="78" t="str">
        <f>IF(AND(pannello!$U$12&gt;B122,pannello!$U$12&lt;=C122),A122,"")</f>
        <v/>
      </c>
    </row>
    <row r="123" spans="1:42" ht="13.8" thickBot="1" x14ac:dyDescent="0.3">
      <c r="A123" s="76">
        <v>41</v>
      </c>
      <c r="B123" s="53">
        <v>2800</v>
      </c>
      <c r="C123" s="54">
        <v>3150</v>
      </c>
      <c r="D123" s="44" t="s">
        <v>11</v>
      </c>
      <c r="E123" s="45" t="s">
        <v>11</v>
      </c>
      <c r="F123" s="45" t="s">
        <v>11</v>
      </c>
      <c r="G123" s="45" t="s">
        <v>11</v>
      </c>
      <c r="H123" s="45">
        <v>520</v>
      </c>
      <c r="I123" s="45">
        <v>290</v>
      </c>
      <c r="J123" s="45" t="s">
        <v>11</v>
      </c>
      <c r="K123" s="45">
        <v>145</v>
      </c>
      <c r="L123" s="45" t="s">
        <v>11</v>
      </c>
      <c r="M123" s="45">
        <v>-38</v>
      </c>
      <c r="N123" s="45">
        <v>0</v>
      </c>
      <c r="O123" s="3">
        <f>IF(AND(pannello!$AA$12&gt;=7,pannello!$AA$12&lt;=11),ROUNDDOWN($X$27/2,0),$X$27/2)</f>
        <v>36</v>
      </c>
      <c r="P123" s="45" t="s">
        <v>11</v>
      </c>
      <c r="Q123" s="45" t="s">
        <v>11</v>
      </c>
      <c r="R123" s="45" t="s">
        <v>11</v>
      </c>
      <c r="S123" s="45">
        <v>0</v>
      </c>
      <c r="T123" s="45" t="s">
        <v>11</v>
      </c>
      <c r="U123" s="45">
        <v>-76</v>
      </c>
      <c r="V123" s="45">
        <v>-76</v>
      </c>
      <c r="W123" s="45">
        <v>-135</v>
      </c>
      <c r="X123" s="45">
        <v>-135</v>
      </c>
      <c r="Y123" s="45">
        <v>-240</v>
      </c>
      <c r="Z123" s="45">
        <v>-580</v>
      </c>
      <c r="AA123" s="45">
        <v>-1400</v>
      </c>
      <c r="AB123" s="45">
        <v>-2100</v>
      </c>
      <c r="AC123" s="45">
        <v>-3200</v>
      </c>
      <c r="AD123" s="45" t="s">
        <v>11</v>
      </c>
      <c r="AE123" s="45" t="s">
        <v>11</v>
      </c>
      <c r="AF123" s="45" t="s">
        <v>11</v>
      </c>
      <c r="AG123" s="45" t="s">
        <v>11</v>
      </c>
      <c r="AH123" s="45" t="s">
        <v>11</v>
      </c>
      <c r="AI123" s="45" t="s">
        <v>11</v>
      </c>
      <c r="AJ123" s="45" t="s">
        <v>11</v>
      </c>
      <c r="AK123" s="78" t="str">
        <f>IF(AND(pannello!$U$12&gt;B123,pannello!$U$12&lt;=C123),A123,"")</f>
        <v/>
      </c>
    </row>
    <row r="124" spans="1:42" x14ac:dyDescent="0.25">
      <c r="D124" s="21" t="str">
        <f>IF(pannello!$Q$12=dati!D81,D79,"")</f>
        <v/>
      </c>
      <c r="E124" s="21" t="str">
        <f>IF(pannello!$Q$12=dati!E81,E79,"")</f>
        <v/>
      </c>
      <c r="F124" s="21" t="str">
        <f>IF(pannello!$Q$12=dati!F81,F79,"")</f>
        <v/>
      </c>
      <c r="G124" s="21" t="str">
        <f>IF(pannello!$Q$12=dati!G81,G79,"")</f>
        <v/>
      </c>
      <c r="H124" s="21" t="str">
        <f>IF(pannello!$Q$12=dati!H81,H79,"")</f>
        <v/>
      </c>
      <c r="I124" s="21" t="str">
        <f>IF(pannello!$Q$12=dati!I81,I79,"")</f>
        <v/>
      </c>
      <c r="J124" s="21" t="str">
        <f>IF(pannello!$Q$12=dati!J81,J79,"")</f>
        <v/>
      </c>
      <c r="K124" s="21" t="str">
        <f>IF(pannello!$Q$12=dati!K81,K79,"")</f>
        <v/>
      </c>
      <c r="L124" s="21" t="str">
        <f>IF(pannello!$Q$12=dati!L81,L79,"")</f>
        <v/>
      </c>
      <c r="M124" s="21" t="str">
        <f>IF(pannello!$Q$12=dati!M81,M79,"")</f>
        <v/>
      </c>
      <c r="N124" s="21" t="str">
        <f>IF(pannello!$Q$12=dati!N81,N79,"")</f>
        <v/>
      </c>
      <c r="O124" s="21" t="str">
        <f>IF(pannello!$Q$12=dati!O81,O79,"")</f>
        <v/>
      </c>
      <c r="P124" s="21" t="str">
        <f>IF(AND(pannello!$Q$12=P81,pannello!$R$12=P82),P79,"")</f>
        <v/>
      </c>
      <c r="Q124" s="21" t="str">
        <f>IF(AND(pannello!$Q$12=Q81,pannello!$R$12=Q82),Q79,"")</f>
        <v/>
      </c>
      <c r="R124" s="21" t="str">
        <f>IF(AND(pannello!$Q$12=R81,pannello!$R$12=R82),R79,"")</f>
        <v/>
      </c>
      <c r="S124" s="21" t="str">
        <f>IF(AND(pannello!$Q$12=S81,pannello!$R$12&lt;=S82),S79,"")</f>
        <v/>
      </c>
      <c r="T124" s="21" t="str">
        <f>IF(AND(pannello!$Q$12=T81,pannello!$R$12&gt;=T82),T79,"")</f>
        <v/>
      </c>
      <c r="U124" s="21" t="str">
        <f>IF(AND(pannello!$Q$12=U81,pannello!$R$12&lt;=U82),U79,"")</f>
        <v/>
      </c>
      <c r="V124" s="21" t="str">
        <f>IF(AND(pannello!$Q$12=V81,pannello!$R$12&gt;=V82),V79,"")</f>
        <v/>
      </c>
      <c r="W124" s="21" t="str">
        <f>IF(AND(pannello!$Q$12=W81,pannello!$R$12&lt;=W82),W79,"")</f>
        <v/>
      </c>
      <c r="X124" s="21" t="str">
        <f>IF(AND(pannello!$Q$12=X81,pannello!$R$12&gt;=X82),X79,"")</f>
        <v/>
      </c>
      <c r="Y124" s="21" t="str">
        <f>IF(pannello!$Q$12=dati!Y81,Y79,"")</f>
        <v/>
      </c>
      <c r="Z124" s="21" t="str">
        <f>IF(pannello!$Q$12=dati!Z81,Z79,"")</f>
        <v/>
      </c>
      <c r="AA124" s="21">
        <f>IF(pannello!$Q$12=dati!AA81,AA79,"")</f>
        <v>24</v>
      </c>
      <c r="AB124" s="21" t="str">
        <f>IF(pannello!$Q$12=dati!AB81,AB79,"")</f>
        <v/>
      </c>
      <c r="AC124" s="21" t="str">
        <f>IF(pannello!$Q$12=dati!AC81,AC79,"")</f>
        <v/>
      </c>
      <c r="AD124" s="21" t="str">
        <f>IF(pannello!$Q$12=dati!AD81,AD79,"")</f>
        <v/>
      </c>
      <c r="AE124" s="21" t="str">
        <f>IF(pannello!$Q$12=dati!AE81,AE79,"")</f>
        <v/>
      </c>
      <c r="AF124" s="21" t="str">
        <f>IF(pannello!$Q$12=dati!AF81,AF79,"")</f>
        <v/>
      </c>
      <c r="AG124" s="21" t="str">
        <f>IF(pannello!$Q$12=dati!AG81,AG79,"")</f>
        <v/>
      </c>
      <c r="AH124" s="21" t="str">
        <f>IF(pannello!$Q$12=dati!AH81,AH79,"")</f>
        <v/>
      </c>
      <c r="AI124" s="21" t="str">
        <f>IF(pannello!$Q$12=dati!AI81,AI79,"")</f>
        <v/>
      </c>
      <c r="AJ124" s="21" t="str">
        <f>IF(pannello!$Q$12=dati!AJ81,AJ79,"")</f>
        <v/>
      </c>
      <c r="AK124">
        <f>SUM(AK83:AK123)</f>
        <v>19</v>
      </c>
      <c r="AL124">
        <f>SUM(D124:AJ124)</f>
        <v>24</v>
      </c>
      <c r="AM124">
        <f>IF(AL124&gt;0,INDEX(fori,AK124,AL124),0)</f>
        <v>-140</v>
      </c>
      <c r="AO124">
        <f>IF(AND(OR(pannello!Q12="K",pannello!Q12="M",pannello!Q12="N"),pannello!R12&lt;=8,pannello!U12&lt;=500),dati!AM124+dati!AU108,AM124)</f>
        <v>-140</v>
      </c>
      <c r="AP124">
        <f>IF(AND(AL124&gt;=22,pannello!R12&lt;=7),AM124+AU108,AM124)</f>
        <v>-140</v>
      </c>
    </row>
    <row r="126" spans="1:42" x14ac:dyDescent="0.25">
      <c r="AG126">
        <f>IF(AG127=AG81,1,0)</f>
        <v>1</v>
      </c>
    </row>
    <row r="127" spans="1:42" x14ac:dyDescent="0.25">
      <c r="AG127" t="s">
        <v>66</v>
      </c>
    </row>
  </sheetData>
  <mergeCells count="13">
    <mergeCell ref="O80:T80"/>
    <mergeCell ref="U80:AJ80"/>
    <mergeCell ref="AM80:AR80"/>
    <mergeCell ref="B80:B81"/>
    <mergeCell ref="D80:N80"/>
    <mergeCell ref="B2:U2"/>
    <mergeCell ref="S30:AH30"/>
    <mergeCell ref="B30:B31"/>
    <mergeCell ref="C30:C31"/>
    <mergeCell ref="D30:O30"/>
    <mergeCell ref="P30:R30"/>
    <mergeCell ref="D3:U3"/>
    <mergeCell ref="B3:C3"/>
  </mergeCells>
  <phoneticPr fontId="1" type="noConversion"/>
  <pageMargins left="0.75" right="0.75" top="1" bottom="1" header="0.5" footer="0.5"/>
  <pageSetup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I167"/>
  <sheetViews>
    <sheetView showZeros="0" workbookViewId="0">
      <pane xSplit="2" topLeftCell="AQ1" activePane="topRight" state="frozen"/>
      <selection pane="topRight"/>
    </sheetView>
  </sheetViews>
  <sheetFormatPr defaultColWidth="8.77734375" defaultRowHeight="13.2" x14ac:dyDescent="0.25"/>
  <cols>
    <col min="1" max="1" width="4.44140625" customWidth="1"/>
    <col min="2" max="2" width="8" customWidth="1"/>
    <col min="3" max="3" width="3" customWidth="1"/>
    <col min="4" max="4" width="3.6640625" customWidth="1"/>
    <col min="5" max="86" width="3" customWidth="1"/>
    <col min="87" max="88" width="4.44140625" customWidth="1"/>
  </cols>
  <sheetData>
    <row r="1" spans="1:87" x14ac:dyDescent="0.25">
      <c r="E1" s="450">
        <f>E2</f>
        <v>1</v>
      </c>
      <c r="F1" s="450"/>
      <c r="G1" s="450">
        <f>IF(E2=0,G2,0)</f>
        <v>0</v>
      </c>
      <c r="H1" s="450"/>
      <c r="I1" s="450">
        <f>IF(SUM(E2:H2)=0,I2,0)</f>
        <v>0</v>
      </c>
      <c r="J1" s="450"/>
      <c r="K1" s="450">
        <f>IF(SUM(E2:J2)=0,K2,0)</f>
        <v>0</v>
      </c>
      <c r="L1" s="450"/>
      <c r="M1" s="450">
        <f>IF(SUM(E2:L2)=0,M2,0)</f>
        <v>0</v>
      </c>
      <c r="N1" s="450"/>
      <c r="O1" s="450">
        <f>IF(SUM(E2:N2)=0,O2,0)</f>
        <v>0</v>
      </c>
      <c r="P1" s="450"/>
      <c r="Q1" s="450">
        <f>IF(SUM(E2:P2)=0,Q2,0)</f>
        <v>0</v>
      </c>
      <c r="R1" s="450"/>
      <c r="S1" s="450">
        <f>IF(SUM(E2:R2)=0,S2,0)</f>
        <v>0</v>
      </c>
      <c r="T1" s="450"/>
      <c r="U1" s="450">
        <f>IF(SUM(E2:T2)=0,U2,0)</f>
        <v>0</v>
      </c>
      <c r="V1" s="450"/>
      <c r="W1" s="450">
        <f>IF(SUM(E2:V2)=0,W2,0)</f>
        <v>0</v>
      </c>
      <c r="X1" s="450"/>
      <c r="Y1" s="450">
        <f>IF(SUM(E2:X2)=0,Y2,0)</f>
        <v>0</v>
      </c>
      <c r="Z1" s="450"/>
      <c r="AA1" s="450">
        <f>IF(SUM(E2:Z2)=0,AA2,0)</f>
        <v>0</v>
      </c>
      <c r="AB1" s="450"/>
      <c r="AC1" s="450">
        <f>IF(SUM(E2:AB2)=0,AC2,0)</f>
        <v>0</v>
      </c>
      <c r="AD1" s="450"/>
      <c r="AE1" s="450">
        <f>IF(SUM(E2:AD2)=0,AE2,0)</f>
        <v>0</v>
      </c>
      <c r="AF1" s="450"/>
      <c r="AG1" s="450">
        <f>IF(SUM(E2:AF2)=0,AG2,0)</f>
        <v>0</v>
      </c>
      <c r="AH1" s="450"/>
      <c r="AI1" s="450">
        <f>IF(SUM(E2:AH2)=0,AI2,0)</f>
        <v>0</v>
      </c>
      <c r="AJ1" s="450"/>
      <c r="AK1" s="450">
        <f>IF(SUM(E2:AJ2)=0,AK2,0)</f>
        <v>0</v>
      </c>
      <c r="AL1" s="450"/>
      <c r="AM1" s="450">
        <f>IF(SUM(E2:AL2)=0,AM2,0)</f>
        <v>0</v>
      </c>
      <c r="AN1" s="450"/>
      <c r="AO1" s="450">
        <f>IF(SUM(E2:AN2)=0,AO2,0)</f>
        <v>0</v>
      </c>
      <c r="AP1" s="450"/>
      <c r="AQ1" s="450">
        <f>IF(SUM(E2:AP2)=0,AQ2,0)</f>
        <v>0</v>
      </c>
      <c r="AR1" s="450"/>
      <c r="AS1" s="450">
        <f>IF(SUM(E2:AR2)=0,AS2,0)</f>
        <v>0</v>
      </c>
      <c r="AT1" s="450"/>
      <c r="AU1" s="450">
        <f>IF(SUM(E2:AT2)=0,AU2,0)</f>
        <v>0</v>
      </c>
      <c r="AV1" s="450"/>
      <c r="AW1" s="450">
        <f>IF(SUM(E2:AV2)=0,AW2,0)</f>
        <v>0</v>
      </c>
      <c r="AX1" s="450"/>
      <c r="AY1" s="450">
        <f>IF(SUM(E2:AX2)=0,AY2,0)</f>
        <v>0</v>
      </c>
      <c r="AZ1" s="450"/>
      <c r="BA1" s="450">
        <f>IF(SUM(E2:AZ2)=0,BA2,0)</f>
        <v>0</v>
      </c>
      <c r="BB1" s="450"/>
      <c r="BC1" s="450">
        <f>IF(SUM(E2:BB2)=0,BC2,0)</f>
        <v>0</v>
      </c>
      <c r="BD1" s="450"/>
      <c r="BE1" s="450">
        <f>IF(SUM(E2:BD2)=0,BE2,0)</f>
        <v>0</v>
      </c>
      <c r="BF1" s="450"/>
      <c r="BG1" s="450">
        <f>IF(SUM(E2:BF2)=0,BG2,0)</f>
        <v>0</v>
      </c>
      <c r="BH1" s="450"/>
      <c r="BI1" s="450">
        <f>IF(SUM(E2:BH2)=0,BI2,0)</f>
        <v>0</v>
      </c>
      <c r="BJ1" s="450"/>
      <c r="BK1" s="450">
        <f>IF(SUM(E2:BJ2)=0,BK2,0)</f>
        <v>0</v>
      </c>
      <c r="BL1" s="450"/>
      <c r="BM1" s="450">
        <f>IF(SUM(E2:BL2)=0,BM2,0)</f>
        <v>0</v>
      </c>
      <c r="BN1" s="450"/>
      <c r="BO1" s="450">
        <f>IF(SUM(E2:BN2)=0,BO2,0)</f>
        <v>0</v>
      </c>
      <c r="BP1" s="450"/>
      <c r="BQ1" s="450">
        <f>IF(SUM(E2:BP2)=0,BQ2,0)</f>
        <v>0</v>
      </c>
      <c r="BR1" s="450"/>
      <c r="BS1" s="450">
        <f>IF(SUM(E2:BR2)=0,BS2,0)</f>
        <v>0</v>
      </c>
      <c r="BT1" s="450"/>
      <c r="BU1" s="450">
        <f>IF(SUM(E2:BT2)=0,BU2,0)</f>
        <v>0</v>
      </c>
      <c r="BV1" s="450"/>
      <c r="BW1" s="450">
        <f>IF(SUM(E2:BV2)=0,BW2,0)</f>
        <v>0</v>
      </c>
      <c r="BX1" s="450"/>
      <c r="BY1" s="450">
        <f>IF(SUM(E2:BX2)=0,BY2,0)</f>
        <v>0</v>
      </c>
      <c r="BZ1" s="450"/>
      <c r="CA1" s="450">
        <f>IF(SUM(E2:BZ2)=0,CA2,0)</f>
        <v>0</v>
      </c>
      <c r="CB1" s="450"/>
      <c r="CC1" s="450">
        <f>IF(SUM(E2:CB2)=0,CC2,0)</f>
        <v>0</v>
      </c>
      <c r="CD1" s="450"/>
      <c r="CE1" s="450">
        <f>IF(SUM(E2:CD2)=0,CE2,0)</f>
        <v>0</v>
      </c>
      <c r="CF1" s="450"/>
      <c r="CG1" s="450">
        <f>IF(SUM(E2:CF2)=0,CG2,0)</f>
        <v>0</v>
      </c>
      <c r="CH1" s="450"/>
      <c r="CI1" s="96">
        <f>SUM(E1:CH1)</f>
        <v>1</v>
      </c>
    </row>
    <row r="2" spans="1:87" x14ac:dyDescent="0.25">
      <c r="E2" s="450">
        <f>IF(AND(B7&lt;B4,B6&gt;B7),E3,0)</f>
        <v>1</v>
      </c>
      <c r="F2" s="450"/>
      <c r="G2" s="450">
        <f>IF(AND(B6&gt;B8,B7=B4),G3,0)</f>
        <v>0</v>
      </c>
      <c r="H2" s="450"/>
      <c r="I2" s="450">
        <f>IF(AND(B7&gt;B4,B8&lt;B4,B6&gt;B7),I3,0)</f>
        <v>0</v>
      </c>
      <c r="J2" s="450"/>
      <c r="K2" s="450">
        <f>IF(AND(B8&lt;B4,B6=B7),K3,0)</f>
        <v>0</v>
      </c>
      <c r="L2" s="450"/>
      <c r="M2" s="450">
        <f>IF(AND(B5&gt;B7,B8&lt;B4,B7&gt;B4,B6&gt;B8),M3,0)</f>
        <v>0</v>
      </c>
      <c r="N2" s="450"/>
      <c r="O2" s="450">
        <f>IF(AND(B5=B7,B8&lt;B4,B6&gt;B8),O3,0)</f>
        <v>0</v>
      </c>
      <c r="P2" s="450"/>
      <c r="Q2" s="450">
        <f>IF(AND(B5&lt;B7,B8&lt;B4,B6&gt;B8,B7&gt;B4),Q3,0)</f>
        <v>0</v>
      </c>
      <c r="R2" s="450"/>
      <c r="S2" s="450">
        <f>IF(AND(B6&gt;B7,B8=B4),S3,0)</f>
        <v>0</v>
      </c>
      <c r="T2" s="450"/>
      <c r="U2" s="450">
        <f>IF(AND(B8=B4,B6=B7),U3,0)</f>
        <v>0</v>
      </c>
      <c r="V2" s="450"/>
      <c r="W2" s="450">
        <f>IF(AND(B6&lt;B7,B8=B4,B5&gt;B7),W3,0)</f>
        <v>0</v>
      </c>
      <c r="X2" s="450"/>
      <c r="Y2" s="450">
        <f>IF(AND(B8=B4,B5=B7),Y3,0)</f>
        <v>0</v>
      </c>
      <c r="Z2" s="450"/>
      <c r="AA2" s="450">
        <f>IF(AND(B8=B4,B5&lt;B7),AA3,0)</f>
        <v>0</v>
      </c>
      <c r="AB2" s="450"/>
      <c r="AC2" s="450">
        <f>IF(AND(B6&gt;B7,B8&gt;B4),AC3,0)</f>
        <v>0</v>
      </c>
      <c r="AD2" s="450"/>
      <c r="AE2" s="450">
        <f>IF(AND(B6=B7,B8&gt;B4),AE3,0)</f>
        <v>0</v>
      </c>
      <c r="AF2" s="450"/>
      <c r="AG2" s="450">
        <f>IF(AND(B5&gt;B7,B6&gt;B8,B8&gt;B4),AG3,0)</f>
        <v>0</v>
      </c>
      <c r="AH2" s="450"/>
      <c r="AI2" s="450">
        <f>IF(AND(B5=B7,B6&gt;B8,B8&gt;B4),AI3,0)</f>
        <v>0</v>
      </c>
      <c r="AJ2" s="450"/>
      <c r="AK2" s="450">
        <f>IF(AND(B8&gt;B4,B6&gt;B8,B5&lt;B7),AK3,0)</f>
        <v>0</v>
      </c>
      <c r="AL2" s="450"/>
      <c r="AM2" s="450">
        <f>IF(AND(B6=B8,B5&gt;B7,B7&gt;B4),AM3,0)</f>
        <v>0</v>
      </c>
      <c r="AN2" s="450"/>
      <c r="AO2" s="450">
        <f>IF(AND(B6=B8,B5=B7),AO3,0)</f>
        <v>0</v>
      </c>
      <c r="AP2" s="450"/>
      <c r="AQ2" s="450">
        <f>IF(AND(B6=B8,B5&lt;B7,B7&gt;B4),AQ3,0)</f>
        <v>0</v>
      </c>
      <c r="AR2" s="450"/>
      <c r="AS2" s="450">
        <f>IF(AND(B6&lt;B8,B5&gt;B7,B8&gt;B4),AS3,0)</f>
        <v>0</v>
      </c>
      <c r="AT2" s="450"/>
      <c r="AU2" s="450">
        <f>IF(AND(B5=B7,B6&lt;B8,B8&gt;B4),AU3,0)</f>
        <v>0</v>
      </c>
      <c r="AV2" s="450"/>
      <c r="AW2" s="450">
        <f>IF(AND(B6&lt;B8,B5&gt;B8,B5&lt;B7,B8&gt;B4),AW3,0)</f>
        <v>0</v>
      </c>
      <c r="AX2" s="450"/>
      <c r="AY2" s="450">
        <f>IF(AND(B5=B8,B5&lt;B7,B7&gt;B4),AY3,0)</f>
        <v>0</v>
      </c>
      <c r="AZ2" s="450"/>
      <c r="BA2" s="450">
        <f>IF(AND(B5&lt;B8,B7&gt;B4,B8&gt;B4),BA3,0)</f>
        <v>0</v>
      </c>
      <c r="BB2" s="450"/>
      <c r="BC2" s="450">
        <f>IF(AND(B6&gt;B8,B6&lt;B7,B7&lt;B4,B5&gt;B7),BC3,0)</f>
        <v>0</v>
      </c>
      <c r="BD2" s="450"/>
      <c r="BE2" s="450">
        <f>IF(AND(B6=B8,B7&lt;B4,B5&gt;B7),BE3,0)</f>
        <v>0</v>
      </c>
      <c r="BF2" s="450"/>
      <c r="BG2" s="450">
        <f>IF(AND(B6=B8,B7=B4),BG3,0)</f>
        <v>0</v>
      </c>
      <c r="BH2" s="450"/>
      <c r="BI2" s="450">
        <f>IF(AND(B6&lt;B8,B7=B4,B5&gt;B8),BI3,0)</f>
        <v>0</v>
      </c>
      <c r="BJ2" s="450"/>
      <c r="BK2" s="450">
        <f>IF(AND(B6&lt;B8,B5&gt;B7,B8&lt;B4,B7&gt;B4),BK3,0)</f>
        <v>0</v>
      </c>
      <c r="BL2" s="450"/>
      <c r="BM2" s="450">
        <f>IF(AND(B5=B7,B6&lt;B8,B8&lt;B4),BM3,0)</f>
        <v>0</v>
      </c>
      <c r="BN2" s="450"/>
      <c r="BO2" s="450">
        <f>IF(AND(B6&lt;B8,B8&lt;B4,B5&lt;B7,B7&gt;B4,B5&gt;B8),BO3,0)</f>
        <v>0</v>
      </c>
      <c r="BP2" s="450"/>
      <c r="BQ2" s="450">
        <f>IF(AND(B6&lt;B8,B7&lt;B4,B5&gt;B7),BQ3,0)</f>
        <v>0</v>
      </c>
      <c r="BR2" s="450"/>
      <c r="BS2" s="450">
        <f>IF(AND(B6&gt;B8,B5&lt;B7,B7&lt;B4),BS3,0)</f>
        <v>0</v>
      </c>
      <c r="BT2" s="450"/>
      <c r="BU2" s="450">
        <f>IF(AND(B6=B8,B5&lt;B7,B7&lt;B4),BU3,0)</f>
        <v>0</v>
      </c>
      <c r="BV2" s="450"/>
      <c r="BW2" s="450">
        <f>IF(AND(B6&lt;B8,B5&lt;B7,B7&lt;B4,B5&gt;B8),BW3,0)</f>
        <v>0</v>
      </c>
      <c r="BX2" s="450"/>
      <c r="BY2" s="450">
        <f>IF(AND(B5=B8,B7&lt;B4),BY3,0)</f>
        <v>0</v>
      </c>
      <c r="BZ2" s="450"/>
      <c r="CA2" s="450">
        <f>IF(AND(B5=B8,B7=B4),CA3,0)</f>
        <v>0</v>
      </c>
      <c r="CB2" s="450"/>
      <c r="CC2" s="450">
        <f>IF(AND(B5&lt;B8,B7&lt;B4),CC3,0)</f>
        <v>0</v>
      </c>
      <c r="CD2" s="450"/>
      <c r="CE2" s="450">
        <f>IF(AND(B7=B4,B5&lt;B8),CE3,0)</f>
        <v>0</v>
      </c>
      <c r="CF2" s="450"/>
      <c r="CG2" s="450">
        <f>IF(AND(B5&lt;B8,B7&gt;B4,B8&lt;B4),CG3,0)</f>
        <v>0</v>
      </c>
      <c r="CH2" s="450"/>
    </row>
    <row r="3" spans="1:87" x14ac:dyDescent="0.25">
      <c r="E3" s="450">
        <v>1</v>
      </c>
      <c r="F3" s="450"/>
      <c r="G3" s="450">
        <v>2</v>
      </c>
      <c r="H3" s="450"/>
      <c r="I3" s="450">
        <v>3</v>
      </c>
      <c r="J3" s="450"/>
      <c r="K3" s="450">
        <v>4</v>
      </c>
      <c r="L3" s="450"/>
      <c r="M3" s="450">
        <v>5</v>
      </c>
      <c r="N3" s="450"/>
      <c r="O3" s="450">
        <v>6</v>
      </c>
      <c r="P3" s="450"/>
      <c r="Q3" s="450">
        <v>7</v>
      </c>
      <c r="R3" s="450"/>
      <c r="S3" s="450">
        <v>8</v>
      </c>
      <c r="T3" s="450"/>
      <c r="U3" s="450">
        <v>9</v>
      </c>
      <c r="V3" s="450"/>
      <c r="W3" s="450">
        <v>10</v>
      </c>
      <c r="X3" s="450"/>
      <c r="Y3" s="450">
        <v>11</v>
      </c>
      <c r="Z3" s="450"/>
      <c r="AA3" s="450">
        <v>12</v>
      </c>
      <c r="AB3" s="450"/>
      <c r="AC3" s="450">
        <v>13</v>
      </c>
      <c r="AD3" s="450"/>
      <c r="AE3" s="450">
        <v>14</v>
      </c>
      <c r="AF3" s="450"/>
      <c r="AG3" s="450">
        <v>15</v>
      </c>
      <c r="AH3" s="450"/>
      <c r="AI3" s="450">
        <v>16</v>
      </c>
      <c r="AJ3" s="450"/>
      <c r="AK3" s="450">
        <v>17</v>
      </c>
      <c r="AL3" s="450"/>
      <c r="AM3" s="450">
        <v>18</v>
      </c>
      <c r="AN3" s="450"/>
      <c r="AO3" s="450">
        <v>19</v>
      </c>
      <c r="AP3" s="450"/>
      <c r="AQ3" s="450">
        <v>20</v>
      </c>
      <c r="AR3" s="450"/>
      <c r="AS3" s="450">
        <v>21</v>
      </c>
      <c r="AT3" s="450"/>
      <c r="AU3" s="450">
        <v>22</v>
      </c>
      <c r="AV3" s="450"/>
      <c r="AW3" s="450">
        <v>23</v>
      </c>
      <c r="AX3" s="450"/>
      <c r="AY3" s="450">
        <v>24</v>
      </c>
      <c r="AZ3" s="450"/>
      <c r="BA3" s="450">
        <v>25</v>
      </c>
      <c r="BB3" s="450"/>
      <c r="BC3" s="450">
        <v>26</v>
      </c>
      <c r="BD3" s="450"/>
      <c r="BE3" s="450">
        <v>27</v>
      </c>
      <c r="BF3" s="450"/>
      <c r="BG3" s="450">
        <v>28</v>
      </c>
      <c r="BH3" s="450"/>
      <c r="BI3" s="450">
        <v>29</v>
      </c>
      <c r="BJ3" s="450"/>
      <c r="BK3" s="450">
        <v>30</v>
      </c>
      <c r="BL3" s="450"/>
      <c r="BM3" s="450">
        <v>31</v>
      </c>
      <c r="BN3" s="450"/>
      <c r="BO3" s="450">
        <v>32</v>
      </c>
      <c r="BP3" s="450"/>
      <c r="BQ3" s="450">
        <v>33</v>
      </c>
      <c r="BR3" s="450"/>
      <c r="BS3" s="450">
        <v>34</v>
      </c>
      <c r="BT3" s="450"/>
      <c r="BU3" s="450">
        <v>35</v>
      </c>
      <c r="BV3" s="450"/>
      <c r="BW3" s="450">
        <v>36</v>
      </c>
      <c r="BX3" s="450"/>
      <c r="BY3" s="450">
        <v>37</v>
      </c>
      <c r="BZ3" s="450"/>
      <c r="CA3" s="450">
        <v>38</v>
      </c>
      <c r="CB3" s="450"/>
      <c r="CC3" s="450">
        <v>39</v>
      </c>
      <c r="CD3" s="450"/>
      <c r="CE3" s="450">
        <v>40</v>
      </c>
      <c r="CF3" s="450"/>
      <c r="CG3" s="450">
        <v>41</v>
      </c>
      <c r="CH3" s="450"/>
    </row>
    <row r="4" spans="1:87" ht="12.75" customHeight="1" x14ac:dyDescent="0.25">
      <c r="A4" t="s">
        <v>3</v>
      </c>
      <c r="B4">
        <f>pannello!U12</f>
        <v>250</v>
      </c>
      <c r="D4" s="93"/>
      <c r="E4" s="443" t="s">
        <v>96</v>
      </c>
      <c r="F4" s="444"/>
      <c r="G4" s="443" t="s">
        <v>98</v>
      </c>
      <c r="H4" s="444"/>
      <c r="I4" s="443" t="s">
        <v>84</v>
      </c>
      <c r="J4" s="444"/>
      <c r="K4" s="443" t="s">
        <v>109</v>
      </c>
      <c r="L4" s="444"/>
      <c r="M4" s="443" t="s">
        <v>99</v>
      </c>
      <c r="N4" s="444"/>
      <c r="O4" s="443" t="s">
        <v>100</v>
      </c>
      <c r="P4" s="444"/>
      <c r="Q4" s="443" t="s">
        <v>111</v>
      </c>
      <c r="R4" s="444"/>
      <c r="S4" s="443" t="s">
        <v>94</v>
      </c>
      <c r="T4" s="444"/>
      <c r="U4" s="443" t="s">
        <v>85</v>
      </c>
      <c r="V4" s="444"/>
      <c r="W4" s="443" t="s">
        <v>86</v>
      </c>
      <c r="X4" s="444"/>
      <c r="Y4" s="443" t="s">
        <v>87</v>
      </c>
      <c r="Z4" s="444"/>
      <c r="AA4" s="443" t="s">
        <v>89</v>
      </c>
      <c r="AB4" s="444"/>
      <c r="AC4" s="443" t="s">
        <v>91</v>
      </c>
      <c r="AD4" s="444"/>
      <c r="AE4" s="443" t="s">
        <v>95</v>
      </c>
      <c r="AF4" s="444"/>
      <c r="AG4" s="443" t="s">
        <v>97</v>
      </c>
      <c r="AH4" s="444"/>
      <c r="AI4" s="443" t="s">
        <v>93</v>
      </c>
      <c r="AJ4" s="444"/>
      <c r="AK4" s="443" t="s">
        <v>90</v>
      </c>
      <c r="AL4" s="444"/>
      <c r="AM4" s="443" t="s">
        <v>101</v>
      </c>
      <c r="AN4" s="444"/>
      <c r="AO4" s="443" t="s">
        <v>88</v>
      </c>
      <c r="AP4" s="444"/>
      <c r="AQ4" s="443" t="s">
        <v>115</v>
      </c>
      <c r="AR4" s="444"/>
      <c r="AS4" s="443" t="s">
        <v>102</v>
      </c>
      <c r="AT4" s="444"/>
      <c r="AU4" s="443" t="s">
        <v>103</v>
      </c>
      <c r="AV4" s="444"/>
      <c r="AW4" s="443" t="s">
        <v>104</v>
      </c>
      <c r="AX4" s="444"/>
      <c r="AY4" s="443" t="s">
        <v>119</v>
      </c>
      <c r="AZ4" s="444"/>
      <c r="BA4" s="443" t="s">
        <v>126</v>
      </c>
      <c r="BB4" s="444"/>
      <c r="BC4" s="443" t="s">
        <v>112</v>
      </c>
      <c r="BD4" s="444"/>
      <c r="BE4" s="443" t="s">
        <v>114</v>
      </c>
      <c r="BF4" s="444"/>
      <c r="BG4" s="443" t="s">
        <v>105</v>
      </c>
      <c r="BH4" s="444"/>
      <c r="BI4" s="443" t="s">
        <v>120</v>
      </c>
      <c r="BJ4" s="444"/>
      <c r="BK4" s="443" t="s">
        <v>106</v>
      </c>
      <c r="BL4" s="444"/>
      <c r="BM4" s="443" t="s">
        <v>107</v>
      </c>
      <c r="BN4" s="444"/>
      <c r="BO4" s="443" t="s">
        <v>127</v>
      </c>
      <c r="BP4" s="444"/>
      <c r="BQ4" s="443" t="s">
        <v>117</v>
      </c>
      <c r="BR4" s="444"/>
      <c r="BS4" s="443" t="s">
        <v>113</v>
      </c>
      <c r="BT4" s="444"/>
      <c r="BU4" s="443" t="s">
        <v>116</v>
      </c>
      <c r="BV4" s="444"/>
      <c r="BW4" s="443" t="s">
        <v>121</v>
      </c>
      <c r="BX4" s="444"/>
      <c r="BY4" s="443" t="s">
        <v>118</v>
      </c>
      <c r="BZ4" s="444"/>
      <c r="CA4" s="443" t="s">
        <v>122</v>
      </c>
      <c r="CB4" s="444"/>
      <c r="CC4" s="443" t="s">
        <v>123</v>
      </c>
      <c r="CD4" s="444"/>
      <c r="CE4" s="443" t="s">
        <v>124</v>
      </c>
      <c r="CF4" s="444"/>
      <c r="CG4" s="443" t="s">
        <v>125</v>
      </c>
      <c r="CH4" s="444"/>
    </row>
    <row r="5" spans="1:87" x14ac:dyDescent="0.25">
      <c r="A5" t="s">
        <v>42</v>
      </c>
      <c r="B5">
        <f>pannello!AA43</f>
        <v>250</v>
      </c>
      <c r="D5" s="94"/>
      <c r="E5" s="445"/>
      <c r="F5" s="446"/>
      <c r="G5" s="445"/>
      <c r="H5" s="446"/>
      <c r="I5" s="445"/>
      <c r="J5" s="446"/>
      <c r="K5" s="445"/>
      <c r="L5" s="446"/>
      <c r="M5" s="445"/>
      <c r="N5" s="446"/>
      <c r="O5" s="445"/>
      <c r="P5" s="446"/>
      <c r="Q5" s="445"/>
      <c r="R5" s="446"/>
      <c r="S5" s="445"/>
      <c r="T5" s="446"/>
      <c r="U5" s="445"/>
      <c r="V5" s="446"/>
      <c r="W5" s="445"/>
      <c r="X5" s="446"/>
      <c r="Y5" s="445"/>
      <c r="Z5" s="446"/>
      <c r="AA5" s="445"/>
      <c r="AB5" s="446"/>
      <c r="AC5" s="445"/>
      <c r="AD5" s="446"/>
      <c r="AE5" s="445"/>
      <c r="AF5" s="446"/>
      <c r="AG5" s="445"/>
      <c r="AH5" s="446"/>
      <c r="AI5" s="445"/>
      <c r="AJ5" s="446"/>
      <c r="AK5" s="445"/>
      <c r="AL5" s="446"/>
      <c r="AM5" s="445"/>
      <c r="AN5" s="446"/>
      <c r="AO5" s="445"/>
      <c r="AP5" s="446"/>
      <c r="AQ5" s="445"/>
      <c r="AR5" s="446"/>
      <c r="AS5" s="445"/>
      <c r="AT5" s="446"/>
      <c r="AU5" s="445"/>
      <c r="AV5" s="446"/>
      <c r="AW5" s="445"/>
      <c r="AX5" s="446"/>
      <c r="AY5" s="445"/>
      <c r="AZ5" s="446"/>
      <c r="BA5" s="445"/>
      <c r="BB5" s="446"/>
      <c r="BC5" s="445"/>
      <c r="BD5" s="446"/>
      <c r="BE5" s="445"/>
      <c r="BF5" s="446"/>
      <c r="BG5" s="445"/>
      <c r="BH5" s="446"/>
      <c r="BI5" s="445"/>
      <c r="BJ5" s="446"/>
      <c r="BK5" s="445"/>
      <c r="BL5" s="446"/>
      <c r="BM5" s="445"/>
      <c r="BN5" s="446"/>
      <c r="BO5" s="445"/>
      <c r="BP5" s="446"/>
      <c r="BQ5" s="445"/>
      <c r="BR5" s="446"/>
      <c r="BS5" s="445"/>
      <c r="BT5" s="446"/>
      <c r="BU5" s="445"/>
      <c r="BV5" s="446"/>
      <c r="BW5" s="445"/>
      <c r="BX5" s="446"/>
      <c r="BY5" s="445"/>
      <c r="BZ5" s="446"/>
      <c r="CA5" s="445"/>
      <c r="CB5" s="446"/>
      <c r="CC5" s="445"/>
      <c r="CD5" s="446"/>
      <c r="CE5" s="445"/>
      <c r="CF5" s="446"/>
      <c r="CG5" s="445"/>
      <c r="CH5" s="446"/>
    </row>
    <row r="6" spans="1:87" x14ac:dyDescent="0.25">
      <c r="A6" t="s">
        <v>0</v>
      </c>
      <c r="B6">
        <f>pannello!AA45</f>
        <v>249.95400000000001</v>
      </c>
      <c r="D6" s="94"/>
      <c r="E6" s="445"/>
      <c r="F6" s="446"/>
      <c r="G6" s="445"/>
      <c r="H6" s="446"/>
      <c r="I6" s="445"/>
      <c r="J6" s="446"/>
      <c r="K6" s="445"/>
      <c r="L6" s="446"/>
      <c r="M6" s="445"/>
      <c r="N6" s="446"/>
      <c r="O6" s="445"/>
      <c r="P6" s="446"/>
      <c r="Q6" s="445"/>
      <c r="R6" s="446"/>
      <c r="S6" s="445"/>
      <c r="T6" s="446"/>
      <c r="U6" s="445"/>
      <c r="V6" s="446"/>
      <c r="W6" s="445"/>
      <c r="X6" s="446"/>
      <c r="Y6" s="445"/>
      <c r="Z6" s="446"/>
      <c r="AA6" s="445"/>
      <c r="AB6" s="446"/>
      <c r="AC6" s="445"/>
      <c r="AD6" s="446"/>
      <c r="AE6" s="445"/>
      <c r="AF6" s="446"/>
      <c r="AG6" s="445"/>
      <c r="AH6" s="446"/>
      <c r="AI6" s="445"/>
      <c r="AJ6" s="446"/>
      <c r="AK6" s="445"/>
      <c r="AL6" s="446"/>
      <c r="AM6" s="445"/>
      <c r="AN6" s="446"/>
      <c r="AO6" s="445"/>
      <c r="AP6" s="446"/>
      <c r="AQ6" s="445"/>
      <c r="AR6" s="446"/>
      <c r="AS6" s="445"/>
      <c r="AT6" s="446"/>
      <c r="AU6" s="445"/>
      <c r="AV6" s="446"/>
      <c r="AW6" s="445"/>
      <c r="AX6" s="446"/>
      <c r="AY6" s="445"/>
      <c r="AZ6" s="446"/>
      <c r="BA6" s="445"/>
      <c r="BB6" s="446"/>
      <c r="BC6" s="445"/>
      <c r="BD6" s="446"/>
      <c r="BE6" s="445"/>
      <c r="BF6" s="446"/>
      <c r="BG6" s="445"/>
      <c r="BH6" s="446"/>
      <c r="BI6" s="445"/>
      <c r="BJ6" s="446"/>
      <c r="BK6" s="445"/>
      <c r="BL6" s="446"/>
      <c r="BM6" s="445"/>
      <c r="BN6" s="446"/>
      <c r="BO6" s="445"/>
      <c r="BP6" s="446"/>
      <c r="BQ6" s="445"/>
      <c r="BR6" s="446"/>
      <c r="BS6" s="445"/>
      <c r="BT6" s="446"/>
      <c r="BU6" s="445"/>
      <c r="BV6" s="446"/>
      <c r="BW6" s="445"/>
      <c r="BX6" s="446"/>
      <c r="BY6" s="445"/>
      <c r="BZ6" s="446"/>
      <c r="CA6" s="445"/>
      <c r="CB6" s="446"/>
      <c r="CC6" s="445"/>
      <c r="CD6" s="446"/>
      <c r="CE6" s="445"/>
      <c r="CF6" s="446"/>
      <c r="CG6" s="445"/>
      <c r="CH6" s="446"/>
    </row>
    <row r="7" spans="1:87" x14ac:dyDescent="0.25">
      <c r="A7" t="s">
        <v>49</v>
      </c>
      <c r="B7">
        <f>pannello!Q43</f>
        <v>249.86</v>
      </c>
      <c r="D7" s="94"/>
      <c r="E7" s="445"/>
      <c r="F7" s="446"/>
      <c r="G7" s="445"/>
      <c r="H7" s="446"/>
      <c r="I7" s="445"/>
      <c r="J7" s="446"/>
      <c r="K7" s="445"/>
      <c r="L7" s="446"/>
      <c r="M7" s="445"/>
      <c r="N7" s="446"/>
      <c r="O7" s="445"/>
      <c r="P7" s="446"/>
      <c r="Q7" s="445"/>
      <c r="R7" s="446"/>
      <c r="S7" s="445"/>
      <c r="T7" s="446"/>
      <c r="U7" s="445"/>
      <c r="V7" s="446"/>
      <c r="W7" s="445"/>
      <c r="X7" s="446"/>
      <c r="Y7" s="445"/>
      <c r="Z7" s="446"/>
      <c r="AA7" s="445"/>
      <c r="AB7" s="446"/>
      <c r="AC7" s="445"/>
      <c r="AD7" s="446"/>
      <c r="AE7" s="445"/>
      <c r="AF7" s="446"/>
      <c r="AG7" s="445"/>
      <c r="AH7" s="446"/>
      <c r="AI7" s="445"/>
      <c r="AJ7" s="446"/>
      <c r="AK7" s="445"/>
      <c r="AL7" s="446"/>
      <c r="AM7" s="445"/>
      <c r="AN7" s="446"/>
      <c r="AO7" s="445"/>
      <c r="AP7" s="446"/>
      <c r="AQ7" s="445"/>
      <c r="AR7" s="446"/>
      <c r="AS7" s="445"/>
      <c r="AT7" s="446"/>
      <c r="AU7" s="445"/>
      <c r="AV7" s="446"/>
      <c r="AW7" s="445"/>
      <c r="AX7" s="446"/>
      <c r="AY7" s="445"/>
      <c r="AZ7" s="446"/>
      <c r="BA7" s="445"/>
      <c r="BB7" s="446"/>
      <c r="BC7" s="445"/>
      <c r="BD7" s="446"/>
      <c r="BE7" s="445"/>
      <c r="BF7" s="446"/>
      <c r="BG7" s="445"/>
      <c r="BH7" s="446"/>
      <c r="BI7" s="445"/>
      <c r="BJ7" s="446"/>
      <c r="BK7" s="445"/>
      <c r="BL7" s="446"/>
      <c r="BM7" s="445"/>
      <c r="BN7" s="446"/>
      <c r="BO7" s="445"/>
      <c r="BP7" s="446"/>
      <c r="BQ7" s="445"/>
      <c r="BR7" s="446"/>
      <c r="BS7" s="445"/>
      <c r="BT7" s="446"/>
      <c r="BU7" s="445"/>
      <c r="BV7" s="446"/>
      <c r="BW7" s="445"/>
      <c r="BX7" s="446"/>
      <c r="BY7" s="445"/>
      <c r="BZ7" s="446"/>
      <c r="CA7" s="445"/>
      <c r="CB7" s="446"/>
      <c r="CC7" s="445"/>
      <c r="CD7" s="446"/>
      <c r="CE7" s="445"/>
      <c r="CF7" s="446"/>
      <c r="CG7" s="445"/>
      <c r="CH7" s="446"/>
    </row>
    <row r="8" spans="1:87" x14ac:dyDescent="0.25">
      <c r="A8" t="s">
        <v>5</v>
      </c>
      <c r="B8">
        <f>pannello!Q45</f>
        <v>249.78800000000001</v>
      </c>
      <c r="D8" s="94"/>
      <c r="E8" s="445"/>
      <c r="F8" s="446"/>
      <c r="G8" s="445"/>
      <c r="H8" s="446"/>
      <c r="I8" s="445"/>
      <c r="J8" s="446"/>
      <c r="K8" s="445"/>
      <c r="L8" s="446"/>
      <c r="M8" s="445"/>
      <c r="N8" s="446"/>
      <c r="O8" s="445"/>
      <c r="P8" s="446"/>
      <c r="Q8" s="445"/>
      <c r="R8" s="446"/>
      <c r="S8" s="445"/>
      <c r="T8" s="446"/>
      <c r="U8" s="445"/>
      <c r="V8" s="446"/>
      <c r="W8" s="445"/>
      <c r="X8" s="446"/>
      <c r="Y8" s="445"/>
      <c r="Z8" s="446"/>
      <c r="AA8" s="445"/>
      <c r="AB8" s="446"/>
      <c r="AC8" s="445"/>
      <c r="AD8" s="446"/>
      <c r="AE8" s="445"/>
      <c r="AF8" s="446"/>
      <c r="AG8" s="445"/>
      <c r="AH8" s="446"/>
      <c r="AI8" s="445"/>
      <c r="AJ8" s="446"/>
      <c r="AK8" s="445"/>
      <c r="AL8" s="446"/>
      <c r="AM8" s="445"/>
      <c r="AN8" s="446"/>
      <c r="AO8" s="445"/>
      <c r="AP8" s="446"/>
      <c r="AQ8" s="445"/>
      <c r="AR8" s="446"/>
      <c r="AS8" s="445"/>
      <c r="AT8" s="446"/>
      <c r="AU8" s="445"/>
      <c r="AV8" s="446"/>
      <c r="AW8" s="445"/>
      <c r="AX8" s="446"/>
      <c r="AY8" s="445"/>
      <c r="AZ8" s="446"/>
      <c r="BA8" s="445"/>
      <c r="BB8" s="446"/>
      <c r="BC8" s="445"/>
      <c r="BD8" s="446"/>
      <c r="BE8" s="445"/>
      <c r="BF8" s="446"/>
      <c r="BG8" s="445"/>
      <c r="BH8" s="446"/>
      <c r="BI8" s="445"/>
      <c r="BJ8" s="446"/>
      <c r="BK8" s="445"/>
      <c r="BL8" s="446"/>
      <c r="BM8" s="445"/>
      <c r="BN8" s="446"/>
      <c r="BO8" s="445"/>
      <c r="BP8" s="446"/>
      <c r="BQ8" s="445"/>
      <c r="BR8" s="446"/>
      <c r="BS8" s="445"/>
      <c r="BT8" s="446"/>
      <c r="BU8" s="445"/>
      <c r="BV8" s="446"/>
      <c r="BW8" s="445"/>
      <c r="BX8" s="446"/>
      <c r="BY8" s="445"/>
      <c r="BZ8" s="446"/>
      <c r="CA8" s="445"/>
      <c r="CB8" s="446"/>
      <c r="CC8" s="445"/>
      <c r="CD8" s="446"/>
      <c r="CE8" s="445"/>
      <c r="CF8" s="446"/>
      <c r="CG8" s="445"/>
      <c r="CH8" s="446"/>
    </row>
    <row r="9" spans="1:87" x14ac:dyDescent="0.25">
      <c r="D9" s="94"/>
      <c r="E9" s="445"/>
      <c r="F9" s="446"/>
      <c r="G9" s="445"/>
      <c r="H9" s="446"/>
      <c r="I9" s="445"/>
      <c r="J9" s="446"/>
      <c r="K9" s="445"/>
      <c r="L9" s="446"/>
      <c r="M9" s="445"/>
      <c r="N9" s="446"/>
      <c r="O9" s="445"/>
      <c r="P9" s="446"/>
      <c r="Q9" s="445"/>
      <c r="R9" s="446"/>
      <c r="S9" s="445"/>
      <c r="T9" s="446"/>
      <c r="U9" s="445"/>
      <c r="V9" s="446"/>
      <c r="W9" s="445"/>
      <c r="X9" s="446"/>
      <c r="Y9" s="445"/>
      <c r="Z9" s="446"/>
      <c r="AA9" s="445"/>
      <c r="AB9" s="446"/>
      <c r="AC9" s="445"/>
      <c r="AD9" s="446"/>
      <c r="AE9" s="445"/>
      <c r="AF9" s="446"/>
      <c r="AG9" s="445"/>
      <c r="AH9" s="446"/>
      <c r="AI9" s="445"/>
      <c r="AJ9" s="446"/>
      <c r="AK9" s="445"/>
      <c r="AL9" s="446"/>
      <c r="AM9" s="445"/>
      <c r="AN9" s="446"/>
      <c r="AO9" s="445"/>
      <c r="AP9" s="446"/>
      <c r="AQ9" s="445"/>
      <c r="AR9" s="446"/>
      <c r="AS9" s="445"/>
      <c r="AT9" s="446"/>
      <c r="AU9" s="445"/>
      <c r="AV9" s="446"/>
      <c r="AW9" s="445"/>
      <c r="AX9" s="446"/>
      <c r="AY9" s="445"/>
      <c r="AZ9" s="446"/>
      <c r="BA9" s="445"/>
      <c r="BB9" s="446"/>
      <c r="BC9" s="445"/>
      <c r="BD9" s="446"/>
      <c r="BE9" s="445"/>
      <c r="BF9" s="446"/>
      <c r="BG9" s="445"/>
      <c r="BH9" s="446"/>
      <c r="BI9" s="445"/>
      <c r="BJ9" s="446"/>
      <c r="BK9" s="445"/>
      <c r="BL9" s="446"/>
      <c r="BM9" s="445"/>
      <c r="BN9" s="446"/>
      <c r="BO9" s="445"/>
      <c r="BP9" s="446"/>
      <c r="BQ9" s="445"/>
      <c r="BR9" s="446"/>
      <c r="BS9" s="445"/>
      <c r="BT9" s="446"/>
      <c r="BU9" s="445"/>
      <c r="BV9" s="446"/>
      <c r="BW9" s="445"/>
      <c r="BX9" s="446"/>
      <c r="BY9" s="445"/>
      <c r="BZ9" s="446"/>
      <c r="CA9" s="445"/>
      <c r="CB9" s="446"/>
      <c r="CC9" s="445"/>
      <c r="CD9" s="446"/>
      <c r="CE9" s="445"/>
      <c r="CF9" s="446"/>
      <c r="CG9" s="445"/>
      <c r="CH9" s="446"/>
    </row>
    <row r="10" spans="1:87" x14ac:dyDescent="0.25">
      <c r="D10" s="94"/>
      <c r="E10" s="445"/>
      <c r="F10" s="446"/>
      <c r="G10" s="445"/>
      <c r="H10" s="446"/>
      <c r="I10" s="445"/>
      <c r="J10" s="446"/>
      <c r="K10" s="445"/>
      <c r="L10" s="446"/>
      <c r="M10" s="445"/>
      <c r="N10" s="446"/>
      <c r="O10" s="445"/>
      <c r="P10" s="446"/>
      <c r="Q10" s="445"/>
      <c r="R10" s="446"/>
      <c r="S10" s="445"/>
      <c r="T10" s="446"/>
      <c r="U10" s="445"/>
      <c r="V10" s="446"/>
      <c r="W10" s="445"/>
      <c r="X10" s="446"/>
      <c r="Y10" s="445"/>
      <c r="Z10" s="446"/>
      <c r="AA10" s="445"/>
      <c r="AB10" s="446"/>
      <c r="AC10" s="445"/>
      <c r="AD10" s="446"/>
      <c r="AE10" s="445"/>
      <c r="AF10" s="446"/>
      <c r="AG10" s="445"/>
      <c r="AH10" s="446"/>
      <c r="AI10" s="445"/>
      <c r="AJ10" s="446"/>
      <c r="AK10" s="445"/>
      <c r="AL10" s="446"/>
      <c r="AM10" s="445"/>
      <c r="AN10" s="446"/>
      <c r="AO10" s="445"/>
      <c r="AP10" s="446"/>
      <c r="AQ10" s="445"/>
      <c r="AR10" s="446"/>
      <c r="AS10" s="445"/>
      <c r="AT10" s="446"/>
      <c r="AU10" s="445"/>
      <c r="AV10" s="446"/>
      <c r="AW10" s="445"/>
      <c r="AX10" s="446"/>
      <c r="AY10" s="445"/>
      <c r="AZ10" s="446"/>
      <c r="BA10" s="445"/>
      <c r="BB10" s="446"/>
      <c r="BC10" s="445"/>
      <c r="BD10" s="446"/>
      <c r="BE10" s="445"/>
      <c r="BF10" s="446"/>
      <c r="BG10" s="445"/>
      <c r="BH10" s="446"/>
      <c r="BI10" s="445"/>
      <c r="BJ10" s="446"/>
      <c r="BK10" s="445"/>
      <c r="BL10" s="446"/>
      <c r="BM10" s="445"/>
      <c r="BN10" s="446"/>
      <c r="BO10" s="445"/>
      <c r="BP10" s="446"/>
      <c r="BQ10" s="445"/>
      <c r="BR10" s="446"/>
      <c r="BS10" s="445"/>
      <c r="BT10" s="446"/>
      <c r="BU10" s="445"/>
      <c r="BV10" s="446"/>
      <c r="BW10" s="445"/>
      <c r="BX10" s="446"/>
      <c r="BY10" s="445"/>
      <c r="BZ10" s="446"/>
      <c r="CA10" s="445"/>
      <c r="CB10" s="446"/>
      <c r="CC10" s="445"/>
      <c r="CD10" s="446"/>
      <c r="CE10" s="445"/>
      <c r="CF10" s="446"/>
      <c r="CG10" s="445"/>
      <c r="CH10" s="446"/>
    </row>
    <row r="11" spans="1:87" x14ac:dyDescent="0.25">
      <c r="D11" s="94"/>
      <c r="E11" s="445"/>
      <c r="F11" s="446"/>
      <c r="G11" s="445"/>
      <c r="H11" s="446"/>
      <c r="I11" s="445"/>
      <c r="J11" s="446"/>
      <c r="K11" s="445"/>
      <c r="L11" s="446"/>
      <c r="M11" s="445"/>
      <c r="N11" s="446"/>
      <c r="O11" s="445"/>
      <c r="P11" s="446"/>
      <c r="Q11" s="445"/>
      <c r="R11" s="446"/>
      <c r="S11" s="445"/>
      <c r="T11" s="446"/>
      <c r="U11" s="445"/>
      <c r="V11" s="446"/>
      <c r="W11" s="445"/>
      <c r="X11" s="446"/>
      <c r="Y11" s="445"/>
      <c r="Z11" s="446"/>
      <c r="AA11" s="445"/>
      <c r="AB11" s="446"/>
      <c r="AC11" s="445"/>
      <c r="AD11" s="446"/>
      <c r="AE11" s="445"/>
      <c r="AF11" s="446"/>
      <c r="AG11" s="445"/>
      <c r="AH11" s="446"/>
      <c r="AI11" s="445"/>
      <c r="AJ11" s="446"/>
      <c r="AK11" s="445"/>
      <c r="AL11" s="446"/>
      <c r="AM11" s="445"/>
      <c r="AN11" s="446"/>
      <c r="AO11" s="445"/>
      <c r="AP11" s="446"/>
      <c r="AQ11" s="445"/>
      <c r="AR11" s="446"/>
      <c r="AS11" s="445"/>
      <c r="AT11" s="446"/>
      <c r="AU11" s="445"/>
      <c r="AV11" s="446"/>
      <c r="AW11" s="445"/>
      <c r="AX11" s="446"/>
      <c r="AY11" s="445"/>
      <c r="AZ11" s="446"/>
      <c r="BA11" s="445"/>
      <c r="BB11" s="446"/>
      <c r="BC11" s="445"/>
      <c r="BD11" s="446"/>
      <c r="BE11" s="445"/>
      <c r="BF11" s="446"/>
      <c r="BG11" s="445"/>
      <c r="BH11" s="446"/>
      <c r="BI11" s="445"/>
      <c r="BJ11" s="446"/>
      <c r="BK11" s="445"/>
      <c r="BL11" s="446"/>
      <c r="BM11" s="445"/>
      <c r="BN11" s="446"/>
      <c r="BO11" s="445"/>
      <c r="BP11" s="446"/>
      <c r="BQ11" s="445"/>
      <c r="BR11" s="446"/>
      <c r="BS11" s="445"/>
      <c r="BT11" s="446"/>
      <c r="BU11" s="445"/>
      <c r="BV11" s="446"/>
      <c r="BW11" s="445"/>
      <c r="BX11" s="446"/>
      <c r="BY11" s="445"/>
      <c r="BZ11" s="446"/>
      <c r="CA11" s="445"/>
      <c r="CB11" s="446"/>
      <c r="CC11" s="445"/>
      <c r="CD11" s="446"/>
      <c r="CE11" s="445"/>
      <c r="CF11" s="446"/>
      <c r="CG11" s="445"/>
      <c r="CH11" s="446"/>
    </row>
    <row r="12" spans="1:87" x14ac:dyDescent="0.25">
      <c r="D12" s="94"/>
      <c r="E12" s="445"/>
      <c r="F12" s="446"/>
      <c r="G12" s="445"/>
      <c r="H12" s="446"/>
      <c r="I12" s="445"/>
      <c r="J12" s="446"/>
      <c r="K12" s="445"/>
      <c r="L12" s="446"/>
      <c r="M12" s="445"/>
      <c r="N12" s="446"/>
      <c r="O12" s="445"/>
      <c r="P12" s="446"/>
      <c r="Q12" s="445"/>
      <c r="R12" s="446"/>
      <c r="S12" s="445"/>
      <c r="T12" s="446"/>
      <c r="U12" s="445"/>
      <c r="V12" s="446"/>
      <c r="W12" s="445"/>
      <c r="X12" s="446"/>
      <c r="Y12" s="445"/>
      <c r="Z12" s="446"/>
      <c r="AA12" s="445"/>
      <c r="AB12" s="446"/>
      <c r="AC12" s="445"/>
      <c r="AD12" s="446"/>
      <c r="AE12" s="445"/>
      <c r="AF12" s="446"/>
      <c r="AG12" s="445"/>
      <c r="AH12" s="446"/>
      <c r="AI12" s="445"/>
      <c r="AJ12" s="446"/>
      <c r="AK12" s="445"/>
      <c r="AL12" s="446"/>
      <c r="AM12" s="445"/>
      <c r="AN12" s="446"/>
      <c r="AO12" s="445"/>
      <c r="AP12" s="446"/>
      <c r="AQ12" s="445"/>
      <c r="AR12" s="446"/>
      <c r="AS12" s="445"/>
      <c r="AT12" s="446"/>
      <c r="AU12" s="445"/>
      <c r="AV12" s="446"/>
      <c r="AW12" s="445"/>
      <c r="AX12" s="446"/>
      <c r="AY12" s="445"/>
      <c r="AZ12" s="446"/>
      <c r="BA12" s="445"/>
      <c r="BB12" s="446"/>
      <c r="BC12" s="445"/>
      <c r="BD12" s="446"/>
      <c r="BE12" s="445"/>
      <c r="BF12" s="446"/>
      <c r="BG12" s="445"/>
      <c r="BH12" s="446"/>
      <c r="BI12" s="445"/>
      <c r="BJ12" s="446"/>
      <c r="BK12" s="445"/>
      <c r="BL12" s="446"/>
      <c r="BM12" s="445"/>
      <c r="BN12" s="446"/>
      <c r="BO12" s="445"/>
      <c r="BP12" s="446"/>
      <c r="BQ12" s="445"/>
      <c r="BR12" s="446"/>
      <c r="BS12" s="445"/>
      <c r="BT12" s="446"/>
      <c r="BU12" s="445"/>
      <c r="BV12" s="446"/>
      <c r="BW12" s="445"/>
      <c r="BX12" s="446"/>
      <c r="BY12" s="445"/>
      <c r="BZ12" s="446"/>
      <c r="CA12" s="445"/>
      <c r="CB12" s="446"/>
      <c r="CC12" s="445"/>
      <c r="CD12" s="446"/>
      <c r="CE12" s="445"/>
      <c r="CF12" s="446"/>
      <c r="CG12" s="445"/>
      <c r="CH12" s="446"/>
    </row>
    <row r="13" spans="1:87" ht="10.5" customHeight="1" x14ac:dyDescent="0.25">
      <c r="B13">
        <v>1</v>
      </c>
      <c r="C13">
        <f>IF(B6&gt;B4,1,0)</f>
        <v>0</v>
      </c>
      <c r="D13" s="441" t="s">
        <v>82</v>
      </c>
      <c r="E13" s="97"/>
      <c r="F13" s="98"/>
      <c r="G13" s="97"/>
      <c r="H13" s="98"/>
      <c r="I13" s="99" t="s">
        <v>49</v>
      </c>
      <c r="J13" s="31"/>
      <c r="K13" s="97"/>
      <c r="L13" s="98"/>
      <c r="M13" s="31"/>
      <c r="N13" s="31"/>
      <c r="O13" s="97"/>
      <c r="P13" s="98"/>
      <c r="Q13" s="31"/>
      <c r="R13" s="98"/>
      <c r="S13" s="31"/>
      <c r="T13" s="98"/>
      <c r="U13" s="99" t="s">
        <v>49</v>
      </c>
      <c r="V13" s="98"/>
      <c r="W13" s="97"/>
      <c r="X13" s="98"/>
      <c r="Y13" s="97"/>
      <c r="Z13" s="98"/>
      <c r="AA13" s="97"/>
      <c r="AB13" s="98"/>
      <c r="AC13" s="100" t="s">
        <v>49</v>
      </c>
      <c r="AD13" s="98"/>
      <c r="AE13" s="31"/>
      <c r="AF13" s="31"/>
      <c r="AG13" s="100" t="s">
        <v>128</v>
      </c>
      <c r="AH13" s="98"/>
      <c r="AI13" s="31"/>
      <c r="AJ13" s="31"/>
      <c r="AK13" s="97"/>
      <c r="AL13" s="101" t="s">
        <v>128</v>
      </c>
      <c r="AM13" s="97"/>
      <c r="AN13" s="98"/>
      <c r="AO13" s="97"/>
      <c r="AP13" s="98"/>
      <c r="AQ13" s="97"/>
      <c r="AR13" s="101" t="s">
        <v>128</v>
      </c>
      <c r="AS13" s="100" t="s">
        <v>128</v>
      </c>
      <c r="AT13" s="98"/>
      <c r="AU13" s="99" t="s">
        <v>128</v>
      </c>
      <c r="AV13" s="99" t="s">
        <v>128</v>
      </c>
      <c r="AW13" s="97"/>
      <c r="AX13" s="101" t="s">
        <v>128</v>
      </c>
      <c r="AY13" s="97"/>
      <c r="AZ13" s="98"/>
      <c r="BA13" s="97"/>
      <c r="BB13" s="101" t="s">
        <v>129</v>
      </c>
      <c r="BC13" s="97"/>
      <c r="BD13" s="98"/>
      <c r="BE13" s="31"/>
      <c r="BF13" s="98"/>
      <c r="BG13" s="31"/>
      <c r="BH13" s="98"/>
      <c r="BI13" s="31"/>
      <c r="BJ13" s="98"/>
      <c r="BK13" s="31"/>
      <c r="BL13" s="98"/>
      <c r="BM13" s="31"/>
      <c r="BN13" s="98"/>
      <c r="BO13" s="31"/>
      <c r="BP13" s="98"/>
      <c r="BQ13" s="31"/>
      <c r="BR13" s="98"/>
      <c r="BS13" s="31"/>
      <c r="BT13" s="98"/>
      <c r="BU13" s="31"/>
      <c r="BV13" s="98"/>
      <c r="BW13" s="31"/>
      <c r="BX13" s="98"/>
      <c r="BY13" s="31"/>
      <c r="BZ13" s="98"/>
      <c r="CA13" s="31"/>
      <c r="CB13" s="98"/>
      <c r="CC13" s="31"/>
      <c r="CD13" s="98"/>
      <c r="CE13" s="31"/>
      <c r="CF13" s="98"/>
      <c r="CG13" s="31"/>
      <c r="CH13" s="98"/>
    </row>
    <row r="14" spans="1:87" ht="10.5" customHeight="1" x14ac:dyDescent="0.25">
      <c r="B14">
        <v>2</v>
      </c>
      <c r="D14" s="441"/>
      <c r="E14" s="97"/>
      <c r="F14" s="98"/>
      <c r="G14" s="97"/>
      <c r="H14" s="98"/>
      <c r="I14" s="101" t="s">
        <v>49</v>
      </c>
      <c r="J14" s="31"/>
      <c r="K14" s="102" t="s">
        <v>49</v>
      </c>
      <c r="L14" s="98"/>
      <c r="M14" s="102" t="s">
        <v>128</v>
      </c>
      <c r="N14" s="98"/>
      <c r="O14" s="97"/>
      <c r="P14" s="98"/>
      <c r="Q14" s="98"/>
      <c r="R14" s="101" t="s">
        <v>128</v>
      </c>
      <c r="S14" s="101" t="s">
        <v>49</v>
      </c>
      <c r="T14" s="98"/>
      <c r="U14" s="101" t="s">
        <v>49</v>
      </c>
      <c r="V14" s="98"/>
      <c r="W14" s="102" t="s">
        <v>128</v>
      </c>
      <c r="X14" s="98"/>
      <c r="Y14" s="103" t="s">
        <v>128</v>
      </c>
      <c r="Z14" s="104" t="s">
        <v>128</v>
      </c>
      <c r="AA14" s="97"/>
      <c r="AB14" s="101" t="s">
        <v>128</v>
      </c>
      <c r="AC14" s="97"/>
      <c r="AD14" s="98"/>
      <c r="AE14" s="101" t="s">
        <v>49</v>
      </c>
      <c r="AF14" s="98"/>
      <c r="AG14" s="105" t="s">
        <v>128</v>
      </c>
      <c r="AH14" s="101" t="s">
        <v>128</v>
      </c>
      <c r="AI14" s="101" t="s">
        <v>128</v>
      </c>
      <c r="AJ14" s="101" t="s">
        <v>128</v>
      </c>
      <c r="AK14" s="100" t="s">
        <v>128</v>
      </c>
      <c r="AL14" s="101" t="s">
        <v>128</v>
      </c>
      <c r="AM14" s="100" t="s">
        <v>128</v>
      </c>
      <c r="AN14" s="98"/>
      <c r="AO14" s="99" t="s">
        <v>128</v>
      </c>
      <c r="AP14" s="101" t="s">
        <v>128</v>
      </c>
      <c r="AQ14" s="100" t="s">
        <v>128</v>
      </c>
      <c r="AR14" s="101" t="s">
        <v>128</v>
      </c>
      <c r="AS14" s="100" t="s">
        <v>128</v>
      </c>
      <c r="AT14" s="101" t="s">
        <v>128</v>
      </c>
      <c r="AU14" s="99" t="s">
        <v>128</v>
      </c>
      <c r="AV14" s="99" t="s">
        <v>128</v>
      </c>
      <c r="AW14" s="100" t="s">
        <v>128</v>
      </c>
      <c r="AX14" s="101" t="s">
        <v>128</v>
      </c>
      <c r="AY14" s="97"/>
      <c r="AZ14" s="101" t="s">
        <v>129</v>
      </c>
      <c r="BA14" s="97"/>
      <c r="BB14" s="98"/>
      <c r="BC14" s="97"/>
      <c r="BD14" s="98"/>
      <c r="BE14" s="31"/>
      <c r="BF14" s="98"/>
      <c r="BG14" s="31"/>
      <c r="BH14" s="98"/>
      <c r="BI14" s="31"/>
      <c r="BJ14" s="98"/>
      <c r="BK14" s="31"/>
      <c r="BL14" s="98"/>
      <c r="BM14" s="31"/>
      <c r="BN14" s="98"/>
      <c r="BO14" s="31"/>
      <c r="BP14" s="98"/>
      <c r="BQ14" s="31"/>
      <c r="BR14" s="98"/>
      <c r="BS14" s="31"/>
      <c r="BT14" s="98"/>
      <c r="BU14" s="31"/>
      <c r="BV14" s="98"/>
      <c r="BW14" s="31"/>
      <c r="BX14" s="98"/>
      <c r="BY14" s="31"/>
      <c r="BZ14" s="98"/>
      <c r="CA14" s="31"/>
      <c r="CB14" s="98"/>
      <c r="CC14" s="31"/>
      <c r="CD14" s="98"/>
      <c r="CE14" s="31"/>
      <c r="CF14" s="98"/>
      <c r="CG14" s="31"/>
      <c r="CH14" s="98"/>
    </row>
    <row r="15" spans="1:87" ht="10.5" customHeight="1" x14ac:dyDescent="0.25">
      <c r="B15">
        <v>3</v>
      </c>
      <c r="D15" s="441"/>
      <c r="E15" s="106" t="s">
        <v>49</v>
      </c>
      <c r="F15" s="98"/>
      <c r="G15" s="106" t="s">
        <v>49</v>
      </c>
      <c r="H15" s="98"/>
      <c r="I15" s="31"/>
      <c r="J15" s="31"/>
      <c r="K15" s="107" t="s">
        <v>49</v>
      </c>
      <c r="L15" s="98"/>
      <c r="M15" s="107" t="s">
        <v>128</v>
      </c>
      <c r="N15" s="101" t="s">
        <v>128</v>
      </c>
      <c r="O15" s="106" t="s">
        <v>128</v>
      </c>
      <c r="P15" s="101" t="s">
        <v>128</v>
      </c>
      <c r="Q15" s="106" t="s">
        <v>128</v>
      </c>
      <c r="R15" s="101" t="s">
        <v>128</v>
      </c>
      <c r="S15" s="31"/>
      <c r="T15" s="98"/>
      <c r="U15" s="31"/>
      <c r="V15" s="102" t="s">
        <v>49</v>
      </c>
      <c r="W15" s="108" t="s">
        <v>128</v>
      </c>
      <c r="X15" s="102" t="s">
        <v>128</v>
      </c>
      <c r="Y15" s="100" t="s">
        <v>128</v>
      </c>
      <c r="Z15" s="101" t="s">
        <v>128</v>
      </c>
      <c r="AA15" s="100" t="s">
        <v>128</v>
      </c>
      <c r="AB15" s="101" t="s">
        <v>128</v>
      </c>
      <c r="AC15" s="97"/>
      <c r="AD15" s="101" t="s">
        <v>49</v>
      </c>
      <c r="AE15" s="31"/>
      <c r="AF15" s="99" t="s">
        <v>49</v>
      </c>
      <c r="AG15" s="97"/>
      <c r="AH15" s="105" t="s">
        <v>128</v>
      </c>
      <c r="AI15" s="31"/>
      <c r="AJ15" s="100" t="s">
        <v>128</v>
      </c>
      <c r="AK15" s="97"/>
      <c r="AL15" s="101" t="s">
        <v>128</v>
      </c>
      <c r="AM15" s="100" t="s">
        <v>128</v>
      </c>
      <c r="AN15" s="101" t="s">
        <v>128</v>
      </c>
      <c r="AO15" s="99" t="s">
        <v>128</v>
      </c>
      <c r="AP15" s="101" t="s">
        <v>128</v>
      </c>
      <c r="AQ15" s="108" t="s">
        <v>128</v>
      </c>
      <c r="AR15" s="109" t="s">
        <v>128</v>
      </c>
      <c r="AS15" s="100" t="s">
        <v>128</v>
      </c>
      <c r="AT15" s="98"/>
      <c r="AU15" s="99" t="s">
        <v>128</v>
      </c>
      <c r="AV15" s="31"/>
      <c r="AW15" s="100" t="s">
        <v>128</v>
      </c>
      <c r="AX15" s="98"/>
      <c r="AY15" s="106" t="s">
        <v>129</v>
      </c>
      <c r="AZ15" s="98"/>
      <c r="BA15" s="106" t="s">
        <v>129</v>
      </c>
      <c r="BB15" s="98"/>
      <c r="BC15" s="97"/>
      <c r="BD15" s="98"/>
      <c r="BE15" s="31"/>
      <c r="BF15" s="98"/>
      <c r="BG15" s="31"/>
      <c r="BH15" s="98"/>
      <c r="BI15" s="31"/>
      <c r="BJ15" s="98"/>
      <c r="BK15" s="31"/>
      <c r="BL15" s="98"/>
      <c r="BM15" s="31"/>
      <c r="BN15" s="98"/>
      <c r="BO15" s="31"/>
      <c r="BP15" s="98"/>
      <c r="BQ15" s="31"/>
      <c r="BR15" s="98"/>
      <c r="BS15" s="31"/>
      <c r="BT15" s="98"/>
      <c r="BU15" s="31"/>
      <c r="BV15" s="98"/>
      <c r="BW15" s="31"/>
      <c r="BX15" s="98"/>
      <c r="BY15" s="31"/>
      <c r="BZ15" s="98"/>
      <c r="CA15" s="31"/>
      <c r="CB15" s="98"/>
      <c r="CC15" s="31"/>
      <c r="CD15" s="98"/>
      <c r="CE15" s="31"/>
      <c r="CF15" s="98"/>
      <c r="CG15" s="31"/>
      <c r="CH15" s="98"/>
    </row>
    <row r="16" spans="1:87" ht="10.5" customHeight="1" thickBot="1" x14ac:dyDescent="0.3">
      <c r="B16">
        <v>4</v>
      </c>
      <c r="D16" s="441"/>
      <c r="E16" s="110"/>
      <c r="F16" s="111"/>
      <c r="G16" s="110"/>
      <c r="H16" s="111"/>
      <c r="I16" s="110"/>
      <c r="J16" s="112" t="s">
        <v>49</v>
      </c>
      <c r="K16" s="110"/>
      <c r="L16" s="113" t="s">
        <v>49</v>
      </c>
      <c r="M16" s="110"/>
      <c r="N16" s="114" t="s">
        <v>128</v>
      </c>
      <c r="O16" s="110"/>
      <c r="P16" s="115" t="s">
        <v>128</v>
      </c>
      <c r="Q16" s="110"/>
      <c r="R16" s="115" t="s">
        <v>128</v>
      </c>
      <c r="S16" s="116"/>
      <c r="T16" s="115" t="s">
        <v>49</v>
      </c>
      <c r="U16" s="116"/>
      <c r="V16" s="114" t="s">
        <v>49</v>
      </c>
      <c r="W16" s="110"/>
      <c r="X16" s="114" t="s">
        <v>128</v>
      </c>
      <c r="Y16" s="110"/>
      <c r="Z16" s="115" t="s">
        <v>128</v>
      </c>
      <c r="AA16" s="110"/>
      <c r="AB16" s="115" t="s">
        <v>128</v>
      </c>
      <c r="AC16" s="110"/>
      <c r="AD16" s="111"/>
      <c r="AE16" s="116"/>
      <c r="AF16" s="116"/>
      <c r="AG16" s="110"/>
      <c r="AH16" s="111"/>
      <c r="AI16" s="116"/>
      <c r="AJ16" s="110"/>
      <c r="AK16" s="110"/>
      <c r="AL16" s="111"/>
      <c r="AM16" s="110"/>
      <c r="AN16" s="111"/>
      <c r="AO16" s="110"/>
      <c r="AP16" s="111"/>
      <c r="AQ16" s="110"/>
      <c r="AR16" s="111"/>
      <c r="AS16" s="110"/>
      <c r="AT16" s="111"/>
      <c r="AU16" s="116"/>
      <c r="AV16" s="116"/>
      <c r="AW16" s="110"/>
      <c r="AX16" s="111"/>
      <c r="AY16" s="110"/>
      <c r="AZ16" s="111"/>
      <c r="BA16" s="110"/>
      <c r="BB16" s="111"/>
      <c r="BC16" s="110"/>
      <c r="BD16" s="111"/>
      <c r="BE16" s="116"/>
      <c r="BF16" s="111"/>
      <c r="BG16" s="116"/>
      <c r="BH16" s="111"/>
      <c r="BI16" s="116"/>
      <c r="BJ16" s="111"/>
      <c r="BK16" s="116"/>
      <c r="BL16" s="111"/>
      <c r="BM16" s="116"/>
      <c r="BN16" s="111"/>
      <c r="BO16" s="116"/>
      <c r="BP16" s="111"/>
      <c r="BQ16" s="116"/>
      <c r="BR16" s="111"/>
      <c r="BS16" s="116"/>
      <c r="BT16" s="111"/>
      <c r="BU16" s="116"/>
      <c r="BV16" s="111"/>
      <c r="BW16" s="116"/>
      <c r="BX16" s="111"/>
      <c r="BY16" s="116"/>
      <c r="BZ16" s="111"/>
      <c r="CA16" s="116"/>
      <c r="CB16" s="111"/>
      <c r="CC16" s="116"/>
      <c r="CD16" s="111"/>
      <c r="CE16" s="116"/>
      <c r="CF16" s="111"/>
      <c r="CG16" s="116"/>
      <c r="CH16" s="111"/>
    </row>
    <row r="17" spans="1:87" ht="10.5" customHeight="1" x14ac:dyDescent="0.25">
      <c r="B17">
        <v>5</v>
      </c>
      <c r="D17" s="441"/>
      <c r="E17" s="97"/>
      <c r="F17" s="98"/>
      <c r="G17" s="97"/>
      <c r="H17" s="107" t="s">
        <v>49</v>
      </c>
      <c r="I17" s="97"/>
      <c r="J17" s="100" t="s">
        <v>49</v>
      </c>
      <c r="K17" s="97"/>
      <c r="L17" s="107" t="s">
        <v>49</v>
      </c>
      <c r="M17" s="97"/>
      <c r="N17" s="105" t="s">
        <v>128</v>
      </c>
      <c r="O17" s="97"/>
      <c r="P17" s="107" t="s">
        <v>128</v>
      </c>
      <c r="Q17" s="97"/>
      <c r="R17" s="107" t="s">
        <v>128</v>
      </c>
      <c r="S17" s="31"/>
      <c r="T17" s="98"/>
      <c r="U17" s="117"/>
      <c r="V17" s="118"/>
      <c r="W17" s="31"/>
      <c r="X17" s="98"/>
      <c r="Y17" s="97"/>
      <c r="Z17" s="98"/>
      <c r="AA17" s="97"/>
      <c r="AB17" s="98"/>
      <c r="AC17" s="97"/>
      <c r="AD17" s="118"/>
      <c r="AE17" s="119"/>
      <c r="AF17" s="119"/>
      <c r="AG17" s="117"/>
      <c r="AH17" s="118"/>
      <c r="AI17" s="31"/>
      <c r="AJ17" s="118"/>
      <c r="AK17" s="97"/>
      <c r="AL17" s="118"/>
      <c r="AM17" s="97"/>
      <c r="AN17" s="118"/>
      <c r="AO17" s="97"/>
      <c r="AP17" s="31"/>
      <c r="AQ17" s="97"/>
      <c r="AR17" s="98"/>
      <c r="AS17" s="97"/>
      <c r="AT17" s="118"/>
      <c r="AU17" s="31"/>
      <c r="AV17" s="118"/>
      <c r="AW17" s="31"/>
      <c r="AX17" s="98"/>
      <c r="AY17" s="97"/>
      <c r="AZ17" s="118"/>
      <c r="BA17" s="97"/>
      <c r="BB17" s="118"/>
      <c r="BC17" s="97"/>
      <c r="BD17" s="98"/>
      <c r="BE17" s="31"/>
      <c r="BF17" s="98"/>
      <c r="BG17" s="31"/>
      <c r="BH17" s="98"/>
      <c r="BI17" s="31"/>
      <c r="BJ17" s="98"/>
      <c r="BK17" s="31"/>
      <c r="BL17" s="98"/>
      <c r="BM17" s="31"/>
      <c r="BN17" s="98"/>
      <c r="BO17" s="31"/>
      <c r="BP17" s="98"/>
      <c r="BQ17" s="31"/>
      <c r="BR17" s="98"/>
      <c r="BS17" s="31"/>
      <c r="BT17" s="98"/>
      <c r="BU17" s="31"/>
      <c r="BV17" s="98"/>
      <c r="BW17" s="31"/>
      <c r="BX17" s="98"/>
      <c r="BY17" s="31"/>
      <c r="BZ17" s="98"/>
      <c r="CA17" s="31"/>
      <c r="CB17" s="98"/>
      <c r="CC17" s="31"/>
      <c r="CD17" s="98"/>
      <c r="CE17" s="31"/>
      <c r="CF17" s="98"/>
      <c r="CG17" s="31"/>
      <c r="CH17" s="98"/>
    </row>
    <row r="18" spans="1:87" ht="10.5" customHeight="1" x14ac:dyDescent="0.25">
      <c r="B18">
        <v>6</v>
      </c>
      <c r="D18" s="441"/>
      <c r="E18" s="97"/>
      <c r="F18" s="106" t="s">
        <v>49</v>
      </c>
      <c r="G18" s="97"/>
      <c r="H18" s="98"/>
      <c r="I18" s="31"/>
      <c r="J18" s="31"/>
      <c r="K18" s="97"/>
      <c r="L18" s="98"/>
      <c r="M18" s="31"/>
      <c r="N18" s="98"/>
      <c r="O18" s="97"/>
      <c r="P18" s="101" t="s">
        <v>128</v>
      </c>
      <c r="Q18" s="31"/>
      <c r="R18" s="98"/>
      <c r="S18" s="31"/>
      <c r="T18" s="98"/>
      <c r="U18" s="31"/>
      <c r="V18" s="98"/>
      <c r="W18" s="31"/>
      <c r="X18" s="98"/>
      <c r="Y18" s="97"/>
      <c r="Z18" s="98"/>
      <c r="AA18" s="97"/>
      <c r="AB18" s="98"/>
      <c r="AC18" s="97"/>
      <c r="AD18" s="98"/>
      <c r="AE18" s="31"/>
      <c r="AF18" s="31"/>
      <c r="AG18" s="97"/>
      <c r="AH18" s="98"/>
      <c r="AI18" s="31"/>
      <c r="AJ18" s="98"/>
      <c r="AK18" s="97"/>
      <c r="AL18" s="98"/>
      <c r="AM18" s="97"/>
      <c r="AN18" s="98"/>
      <c r="AO18" s="97"/>
      <c r="AP18" s="98"/>
      <c r="AQ18" s="97"/>
      <c r="AR18" s="98"/>
      <c r="AS18" s="97"/>
      <c r="AT18" s="98"/>
      <c r="AU18" s="31"/>
      <c r="AV18" s="98"/>
      <c r="AW18" s="31"/>
      <c r="AX18" s="98"/>
      <c r="AY18" s="97"/>
      <c r="AZ18" s="98"/>
      <c r="BA18" s="97"/>
      <c r="BB18" s="98"/>
      <c r="BC18" s="97"/>
      <c r="BD18" s="98"/>
      <c r="BE18" s="31"/>
      <c r="BF18" s="98"/>
      <c r="BG18" s="31"/>
      <c r="BH18" s="98"/>
      <c r="BI18" s="31"/>
      <c r="BJ18" s="98"/>
      <c r="BK18" s="31"/>
      <c r="BL18" s="98"/>
      <c r="BM18" s="31"/>
      <c r="BN18" s="98"/>
      <c r="BO18" s="31"/>
      <c r="BP18" s="98"/>
      <c r="BQ18" s="31"/>
      <c r="BR18" s="98"/>
      <c r="BS18" s="31"/>
      <c r="BT18" s="98"/>
      <c r="BU18" s="31"/>
      <c r="BV18" s="98"/>
      <c r="BW18" s="31"/>
      <c r="BX18" s="98"/>
      <c r="BY18" s="31"/>
      <c r="BZ18" s="98"/>
      <c r="CA18" s="31"/>
      <c r="CB18" s="98"/>
      <c r="CC18" s="31"/>
      <c r="CD18" s="98"/>
      <c r="CE18" s="31"/>
      <c r="CF18" s="98"/>
      <c r="CG18" s="31"/>
      <c r="CH18" s="98"/>
    </row>
    <row r="19" spans="1:87" ht="10.5" customHeight="1" x14ac:dyDescent="0.25">
      <c r="B19">
        <v>7</v>
      </c>
      <c r="D19" s="441"/>
      <c r="E19" s="97"/>
      <c r="F19" s="98"/>
      <c r="G19" s="97"/>
      <c r="H19" s="98"/>
      <c r="I19" s="31"/>
      <c r="J19" s="31"/>
      <c r="K19" s="97"/>
      <c r="L19" s="98"/>
      <c r="M19" s="31"/>
      <c r="N19" s="98"/>
      <c r="O19" s="97"/>
      <c r="P19" s="98"/>
      <c r="Q19" s="31"/>
      <c r="R19" s="98"/>
      <c r="S19" s="31"/>
      <c r="T19" s="98"/>
      <c r="U19" s="31"/>
      <c r="V19" s="98"/>
      <c r="W19" s="31"/>
      <c r="X19" s="98"/>
      <c r="Y19" s="97"/>
      <c r="Z19" s="98"/>
      <c r="AA19" s="97"/>
      <c r="AB19" s="98"/>
      <c r="AC19" s="97"/>
      <c r="AD19" s="98"/>
      <c r="AE19" s="31"/>
      <c r="AF19" s="31"/>
      <c r="AG19" s="97"/>
      <c r="AH19" s="98"/>
      <c r="AI19" s="31"/>
      <c r="AJ19" s="98"/>
      <c r="AK19" s="97"/>
      <c r="AL19" s="98"/>
      <c r="AM19" s="97"/>
      <c r="AN19" s="98"/>
      <c r="AO19" s="97"/>
      <c r="AP19" s="98"/>
      <c r="AQ19" s="97"/>
      <c r="AR19" s="98"/>
      <c r="AS19" s="97"/>
      <c r="AT19" s="98"/>
      <c r="AU19" s="31"/>
      <c r="AV19" s="98"/>
      <c r="AW19" s="31"/>
      <c r="AX19" s="98"/>
      <c r="AY19" s="97"/>
      <c r="AZ19" s="98"/>
      <c r="BA19" s="97"/>
      <c r="BB19" s="98"/>
      <c r="BC19" s="97"/>
      <c r="BD19" s="98"/>
      <c r="BE19" s="31"/>
      <c r="BF19" s="98"/>
      <c r="BG19" s="31"/>
      <c r="BH19" s="98"/>
      <c r="BI19" s="31"/>
      <c r="BJ19" s="98"/>
      <c r="BK19" s="31"/>
      <c r="BL19" s="98"/>
      <c r="BM19" s="31"/>
      <c r="BN19" s="98"/>
      <c r="BO19" s="31"/>
      <c r="BP19" s="98"/>
      <c r="BQ19" s="31"/>
      <c r="BR19" s="98"/>
      <c r="BS19" s="31"/>
      <c r="BT19" s="98"/>
      <c r="BU19" s="31"/>
      <c r="BV19" s="98"/>
      <c r="BW19" s="31"/>
      <c r="BX19" s="98"/>
      <c r="BY19" s="31"/>
      <c r="BZ19" s="98"/>
      <c r="CA19" s="31"/>
      <c r="CB19" s="98"/>
      <c r="CC19" s="31"/>
      <c r="CD19" s="98"/>
      <c r="CE19" s="31"/>
      <c r="CF19" s="98"/>
      <c r="CG19" s="31"/>
      <c r="CH19" s="98"/>
    </row>
    <row r="20" spans="1:87" s="95" customFormat="1" ht="10.5" customHeight="1" thickBot="1" x14ac:dyDescent="0.3">
      <c r="A20"/>
      <c r="B20">
        <v>8</v>
      </c>
      <c r="C20"/>
      <c r="D20" s="442"/>
      <c r="E20" s="120"/>
      <c r="F20" s="121"/>
      <c r="G20" s="120"/>
      <c r="H20" s="121"/>
      <c r="I20" s="122"/>
      <c r="J20" s="122"/>
      <c r="K20" s="120"/>
      <c r="L20" s="121"/>
      <c r="M20" s="122"/>
      <c r="N20" s="121"/>
      <c r="O20" s="120"/>
      <c r="P20" s="121"/>
      <c r="Q20" s="122"/>
      <c r="R20" s="121"/>
      <c r="S20" s="122"/>
      <c r="T20" s="121"/>
      <c r="U20" s="122"/>
      <c r="V20" s="121"/>
      <c r="W20" s="122"/>
      <c r="X20" s="121"/>
      <c r="Y20" s="120"/>
      <c r="Z20" s="121"/>
      <c r="AA20" s="120"/>
      <c r="AB20" s="121"/>
      <c r="AC20" s="120"/>
      <c r="AD20" s="121"/>
      <c r="AE20" s="122"/>
      <c r="AF20" s="122"/>
      <c r="AG20" s="120"/>
      <c r="AH20" s="121"/>
      <c r="AI20" s="122"/>
      <c r="AJ20" s="121"/>
      <c r="AK20" s="120"/>
      <c r="AL20" s="121"/>
      <c r="AM20" s="120"/>
      <c r="AN20" s="121"/>
      <c r="AO20" s="120"/>
      <c r="AP20" s="121"/>
      <c r="AQ20" s="120"/>
      <c r="AR20" s="121"/>
      <c r="AS20" s="120"/>
      <c r="AT20" s="121"/>
      <c r="AU20" s="122"/>
      <c r="AV20" s="121"/>
      <c r="AW20" s="122"/>
      <c r="AX20" s="121"/>
      <c r="AY20" s="120"/>
      <c r="AZ20" s="121"/>
      <c r="BA20" s="120"/>
      <c r="BB20" s="121"/>
      <c r="BC20" s="120"/>
      <c r="BD20" s="121"/>
      <c r="BE20" s="122"/>
      <c r="BF20" s="121"/>
      <c r="BG20" s="122"/>
      <c r="BH20" s="121"/>
      <c r="BI20" s="122"/>
      <c r="BJ20" s="121"/>
      <c r="BK20" s="122"/>
      <c r="BL20" s="121"/>
      <c r="BM20" s="122"/>
      <c r="BN20" s="121"/>
      <c r="BO20" s="122"/>
      <c r="BP20" s="121"/>
      <c r="BQ20" s="122"/>
      <c r="BR20" s="121"/>
      <c r="BS20" s="122"/>
      <c r="BT20" s="121"/>
      <c r="BU20" s="122"/>
      <c r="BV20" s="121"/>
      <c r="BW20" s="122"/>
      <c r="BX20" s="121"/>
      <c r="BY20" s="122"/>
      <c r="BZ20" s="121"/>
      <c r="CA20" s="122"/>
      <c r="CB20" s="121"/>
      <c r="CC20" s="122"/>
      <c r="CD20" s="121"/>
      <c r="CE20" s="122"/>
      <c r="CF20" s="121"/>
      <c r="CG20" s="122"/>
      <c r="CH20" s="121"/>
    </row>
    <row r="21" spans="1:87" ht="10.5" customHeight="1" thickTop="1" x14ac:dyDescent="0.25">
      <c r="B21">
        <v>9</v>
      </c>
      <c r="C21">
        <f>IF(B6=B4,2,0)</f>
        <v>0</v>
      </c>
      <c r="D21" s="447" t="s">
        <v>83</v>
      </c>
      <c r="E21" s="31"/>
      <c r="F21" s="123"/>
      <c r="G21" s="31"/>
      <c r="H21" s="123"/>
      <c r="I21" s="31"/>
      <c r="J21" s="123"/>
      <c r="K21" s="31"/>
      <c r="L21" s="123"/>
      <c r="M21" s="31"/>
      <c r="N21" s="98"/>
      <c r="O21" s="97"/>
      <c r="P21" s="123"/>
      <c r="Q21" s="31"/>
      <c r="R21" s="98"/>
      <c r="S21" s="31"/>
      <c r="T21" s="98"/>
      <c r="U21" s="31"/>
      <c r="V21" s="123"/>
      <c r="W21" s="31"/>
      <c r="X21" s="123"/>
      <c r="Y21" s="31"/>
      <c r="Z21" s="123"/>
      <c r="AA21" s="31"/>
      <c r="AB21" s="123"/>
      <c r="AC21" s="31"/>
      <c r="AD21" s="123"/>
      <c r="AE21" s="31"/>
      <c r="AF21" s="31"/>
      <c r="AG21" s="97"/>
      <c r="AH21" s="98"/>
      <c r="AI21" s="31"/>
      <c r="AJ21" s="98"/>
      <c r="AK21" s="31"/>
      <c r="AL21" s="123"/>
      <c r="AM21" s="31"/>
      <c r="AN21" s="123"/>
      <c r="AO21" s="31"/>
      <c r="AP21" s="123"/>
      <c r="AQ21" s="31"/>
      <c r="AR21" s="123"/>
      <c r="AS21" s="31"/>
      <c r="AT21" s="123"/>
      <c r="AU21" s="31"/>
      <c r="AV21" s="98"/>
      <c r="AW21" s="31"/>
      <c r="AX21" s="123"/>
      <c r="AY21" s="31"/>
      <c r="AZ21" s="123"/>
      <c r="BA21" s="31"/>
      <c r="BB21" s="123"/>
      <c r="BC21" s="97"/>
      <c r="BD21" s="98"/>
      <c r="BE21" s="31"/>
      <c r="BF21" s="98"/>
      <c r="BG21" s="31"/>
      <c r="BH21" s="98"/>
      <c r="BI21" s="31"/>
      <c r="BJ21" s="98"/>
      <c r="BK21" s="31"/>
      <c r="BL21" s="98"/>
      <c r="BM21" s="31"/>
      <c r="BN21" s="98"/>
      <c r="BO21" s="31"/>
      <c r="BP21" s="98"/>
      <c r="BQ21" s="31"/>
      <c r="BR21" s="98"/>
      <c r="BS21" s="31"/>
      <c r="BT21" s="98"/>
      <c r="BU21" s="31"/>
      <c r="BV21" s="98"/>
      <c r="BW21" s="31"/>
      <c r="BX21" s="98"/>
      <c r="BY21" s="31"/>
      <c r="BZ21" s="98"/>
      <c r="CA21" s="31"/>
      <c r="CB21" s="98"/>
      <c r="CC21" s="31"/>
      <c r="CD21" s="98"/>
      <c r="CE21" s="31"/>
      <c r="CF21" s="98"/>
      <c r="CG21" s="31"/>
      <c r="CH21" s="98"/>
    </row>
    <row r="22" spans="1:87" ht="10.5" customHeight="1" x14ac:dyDescent="0.25">
      <c r="B22">
        <v>10</v>
      </c>
      <c r="D22" s="441"/>
      <c r="E22" s="31"/>
      <c r="F22" s="98"/>
      <c r="G22" s="31"/>
      <c r="H22" s="98"/>
      <c r="I22" s="31"/>
      <c r="J22" s="98"/>
      <c r="K22" s="31"/>
      <c r="L22" s="98"/>
      <c r="M22" s="31"/>
      <c r="N22" s="98"/>
      <c r="O22" s="97"/>
      <c r="P22" s="98"/>
      <c r="Q22" s="31"/>
      <c r="R22" s="98"/>
      <c r="S22" s="31"/>
      <c r="T22" s="98"/>
      <c r="U22" s="31"/>
      <c r="V22" s="98"/>
      <c r="W22" s="31"/>
      <c r="X22" s="98"/>
      <c r="Y22" s="31"/>
      <c r="Z22" s="98"/>
      <c r="AA22" s="31"/>
      <c r="AB22" s="98"/>
      <c r="AC22" s="31"/>
      <c r="AD22" s="98"/>
      <c r="AE22" s="31"/>
      <c r="AF22" s="31"/>
      <c r="AG22" s="97"/>
      <c r="AH22" s="98"/>
      <c r="AI22" s="31"/>
      <c r="AJ22" s="98"/>
      <c r="AK22" s="31"/>
      <c r="AL22" s="98"/>
      <c r="AM22" s="31"/>
      <c r="AN22" s="98"/>
      <c r="AO22" s="31"/>
      <c r="AP22" s="98"/>
      <c r="AQ22" s="31"/>
      <c r="AR22" s="98"/>
      <c r="AS22" s="99" t="s">
        <v>128</v>
      </c>
      <c r="AT22" s="98"/>
      <c r="AU22" s="31"/>
      <c r="AV22" s="98"/>
      <c r="AW22" s="31"/>
      <c r="AX22" s="101" t="s">
        <v>128</v>
      </c>
      <c r="AY22" s="31"/>
      <c r="AZ22" s="98"/>
      <c r="BA22" s="31"/>
      <c r="BB22" s="101" t="s">
        <v>129</v>
      </c>
      <c r="BC22" s="97"/>
      <c r="BD22" s="98"/>
      <c r="BE22" s="31"/>
      <c r="BF22" s="98"/>
      <c r="BG22" s="31"/>
      <c r="BH22" s="98"/>
      <c r="BI22" s="31"/>
      <c r="BJ22" s="98"/>
      <c r="BK22" s="31"/>
      <c r="BL22" s="98"/>
      <c r="BM22" s="31"/>
      <c r="BN22" s="98"/>
      <c r="BO22" s="31"/>
      <c r="BP22" s="98"/>
      <c r="BQ22" s="31"/>
      <c r="BR22" s="98"/>
      <c r="BS22" s="31"/>
      <c r="BT22" s="98"/>
      <c r="BU22" s="31"/>
      <c r="BV22" s="98"/>
      <c r="BW22" s="31"/>
      <c r="BX22" s="98"/>
      <c r="BY22" s="31"/>
      <c r="BZ22" s="98"/>
      <c r="CA22" s="31"/>
      <c r="CB22" s="98"/>
      <c r="CC22" s="31"/>
      <c r="CD22" s="98"/>
      <c r="CE22" s="31"/>
      <c r="CF22" s="98"/>
      <c r="CG22" s="31"/>
      <c r="CH22" s="98"/>
    </row>
    <row r="23" spans="1:87" ht="10.5" customHeight="1" x14ac:dyDescent="0.25">
      <c r="B23">
        <v>11</v>
      </c>
      <c r="D23" s="441"/>
      <c r="E23" s="31"/>
      <c r="F23" s="98"/>
      <c r="G23" s="104" t="s">
        <v>49</v>
      </c>
      <c r="H23" s="98"/>
      <c r="I23" s="31"/>
      <c r="J23" s="98"/>
      <c r="K23" s="31"/>
      <c r="L23" s="98"/>
      <c r="M23" s="99" t="s">
        <v>128</v>
      </c>
      <c r="N23" s="98"/>
      <c r="O23" s="97"/>
      <c r="P23" s="98"/>
      <c r="Q23" s="31"/>
      <c r="R23" s="101" t="s">
        <v>128</v>
      </c>
      <c r="S23" s="31"/>
      <c r="T23" s="98"/>
      <c r="U23" s="31"/>
      <c r="V23" s="98"/>
      <c r="W23" s="99" t="s">
        <v>128</v>
      </c>
      <c r="X23" s="98"/>
      <c r="Y23" s="31"/>
      <c r="Z23" s="98"/>
      <c r="AA23" s="31"/>
      <c r="AB23" s="101" t="s">
        <v>128</v>
      </c>
      <c r="AC23" s="31"/>
      <c r="AD23" s="98"/>
      <c r="AE23" s="31"/>
      <c r="AF23" s="31"/>
      <c r="AG23" s="97"/>
      <c r="AH23" s="98"/>
      <c r="AI23" s="31"/>
      <c r="AJ23" s="98"/>
      <c r="AK23" s="31"/>
      <c r="AL23" s="98"/>
      <c r="AM23" s="100" t="s">
        <v>128</v>
      </c>
      <c r="AN23" s="98"/>
      <c r="AO23" s="31"/>
      <c r="AP23" s="98"/>
      <c r="AQ23" s="31"/>
      <c r="AR23" s="101" t="s">
        <v>128</v>
      </c>
      <c r="AS23" s="99" t="s">
        <v>128</v>
      </c>
      <c r="AT23" s="101" t="s">
        <v>128</v>
      </c>
      <c r="AU23" s="99" t="s">
        <v>128</v>
      </c>
      <c r="AV23" s="101" t="s">
        <v>128</v>
      </c>
      <c r="AW23" s="99" t="s">
        <v>128</v>
      </c>
      <c r="AX23" s="101" t="s">
        <v>128</v>
      </c>
      <c r="AY23" s="31"/>
      <c r="AZ23" s="101" t="s">
        <v>129</v>
      </c>
      <c r="BA23" s="31"/>
      <c r="BB23" s="98"/>
      <c r="BC23" s="97"/>
      <c r="BD23" s="98"/>
      <c r="BE23" s="31"/>
      <c r="BF23" s="98"/>
      <c r="BG23" s="31"/>
      <c r="BH23" s="98"/>
      <c r="BI23" s="31"/>
      <c r="BJ23" s="98"/>
      <c r="BK23" s="31"/>
      <c r="BL23" s="98"/>
      <c r="BM23" s="31"/>
      <c r="BN23" s="98"/>
      <c r="BO23" s="31"/>
      <c r="BP23" s="98"/>
      <c r="BQ23" s="31"/>
      <c r="BR23" s="98"/>
      <c r="BS23" s="31"/>
      <c r="BT23" s="98"/>
      <c r="BU23" s="31"/>
      <c r="BV23" s="98"/>
      <c r="BW23" s="31"/>
      <c r="BX23" s="98"/>
      <c r="BY23" s="31"/>
      <c r="BZ23" s="98"/>
      <c r="CA23" s="31"/>
      <c r="CB23" s="98"/>
      <c r="CC23" s="31"/>
      <c r="CD23" s="98"/>
      <c r="CE23" s="31"/>
      <c r="CF23" s="98"/>
      <c r="CG23" s="31"/>
      <c r="CH23" s="98"/>
    </row>
    <row r="24" spans="1:87" ht="10.5" customHeight="1" thickBot="1" x14ac:dyDescent="0.3">
      <c r="B24">
        <v>12</v>
      </c>
      <c r="D24" s="441"/>
      <c r="E24" s="113" t="s">
        <v>49</v>
      </c>
      <c r="F24" s="111"/>
      <c r="G24" s="115" t="s">
        <v>49</v>
      </c>
      <c r="H24" s="111"/>
      <c r="I24" s="116"/>
      <c r="J24" s="111"/>
      <c r="K24" s="116"/>
      <c r="L24" s="111"/>
      <c r="M24" s="115" t="s">
        <v>128</v>
      </c>
      <c r="N24" s="115" t="s">
        <v>128</v>
      </c>
      <c r="O24" s="112" t="s">
        <v>128</v>
      </c>
      <c r="P24" s="115" t="s">
        <v>128</v>
      </c>
      <c r="Q24" s="124" t="s">
        <v>128</v>
      </c>
      <c r="R24" s="115" t="s">
        <v>128</v>
      </c>
      <c r="S24" s="116"/>
      <c r="T24" s="111"/>
      <c r="U24" s="116"/>
      <c r="V24" s="111"/>
      <c r="W24" s="124" t="s">
        <v>128</v>
      </c>
      <c r="X24" s="115" t="s">
        <v>128</v>
      </c>
      <c r="Y24" s="124" t="s">
        <v>128</v>
      </c>
      <c r="Z24" s="115" t="s">
        <v>128</v>
      </c>
      <c r="AA24" s="124" t="s">
        <v>128</v>
      </c>
      <c r="AB24" s="115" t="s">
        <v>128</v>
      </c>
      <c r="AC24" s="110"/>
      <c r="AD24" s="111"/>
      <c r="AE24" s="116"/>
      <c r="AF24" s="116"/>
      <c r="AG24" s="110"/>
      <c r="AH24" s="111"/>
      <c r="AI24" s="116"/>
      <c r="AJ24" s="111"/>
      <c r="AK24" s="116"/>
      <c r="AL24" s="111"/>
      <c r="AM24" s="112" t="s">
        <v>128</v>
      </c>
      <c r="AN24" s="115" t="s">
        <v>128</v>
      </c>
      <c r="AO24" s="112" t="s">
        <v>128</v>
      </c>
      <c r="AP24" s="115" t="s">
        <v>128</v>
      </c>
      <c r="AQ24" s="112" t="s">
        <v>128</v>
      </c>
      <c r="AR24" s="115" t="s">
        <v>128</v>
      </c>
      <c r="AS24" s="124" t="s">
        <v>128</v>
      </c>
      <c r="AT24" s="111"/>
      <c r="AU24" s="124" t="s">
        <v>128</v>
      </c>
      <c r="AV24" s="111"/>
      <c r="AW24" s="124" t="s">
        <v>128</v>
      </c>
      <c r="AX24" s="111"/>
      <c r="AY24" s="112" t="s">
        <v>129</v>
      </c>
      <c r="AZ24" s="111"/>
      <c r="BA24" s="124" t="s">
        <v>129</v>
      </c>
      <c r="BB24" s="111"/>
      <c r="BC24" s="97"/>
      <c r="BD24" s="98"/>
      <c r="BE24" s="31"/>
      <c r="BF24" s="98"/>
      <c r="BG24" s="31"/>
      <c r="BH24" s="98"/>
      <c r="BI24" s="31"/>
      <c r="BJ24" s="98"/>
      <c r="BK24" s="31"/>
      <c r="BL24" s="98"/>
      <c r="BM24" s="31"/>
      <c r="BN24" s="98"/>
      <c r="BO24" s="31"/>
      <c r="BP24" s="98"/>
      <c r="BQ24" s="31"/>
      <c r="BR24" s="98"/>
      <c r="BS24" s="31"/>
      <c r="BT24" s="98"/>
      <c r="BU24" s="31"/>
      <c r="BV24" s="98"/>
      <c r="BW24" s="31"/>
      <c r="BX24" s="98"/>
      <c r="BY24" s="31"/>
      <c r="BZ24" s="98"/>
      <c r="CA24" s="31"/>
      <c r="CB24" s="98"/>
      <c r="CC24" s="31"/>
      <c r="CD24" s="98"/>
      <c r="CE24" s="31"/>
      <c r="CF24" s="98"/>
      <c r="CG24" s="31"/>
      <c r="CH24" s="98"/>
    </row>
    <row r="25" spans="1:87" ht="10.5" customHeight="1" x14ac:dyDescent="0.25">
      <c r="B25">
        <v>13</v>
      </c>
      <c r="D25" s="441"/>
      <c r="E25" s="31"/>
      <c r="F25" s="98"/>
      <c r="G25" s="31"/>
      <c r="H25" s="105" t="s">
        <v>49</v>
      </c>
      <c r="I25" s="31"/>
      <c r="J25" s="98"/>
      <c r="K25" s="31"/>
      <c r="L25" s="98"/>
      <c r="M25" s="31"/>
      <c r="N25" s="101" t="s">
        <v>128</v>
      </c>
      <c r="O25" s="97"/>
      <c r="P25" s="101" t="s">
        <v>128</v>
      </c>
      <c r="Q25" s="31"/>
      <c r="R25" s="101" t="s">
        <v>128</v>
      </c>
      <c r="S25" s="31"/>
      <c r="T25" s="98"/>
      <c r="U25" s="31"/>
      <c r="V25" s="98"/>
      <c r="W25" s="31"/>
      <c r="X25" s="98"/>
      <c r="Y25" s="31"/>
      <c r="Z25" s="98"/>
      <c r="AA25" s="31"/>
      <c r="AB25" s="98"/>
      <c r="AC25" s="31"/>
      <c r="AD25" s="98"/>
      <c r="AE25" s="31"/>
      <c r="AF25" s="31"/>
      <c r="AG25" s="97"/>
      <c r="AH25" s="98"/>
      <c r="AI25" s="31"/>
      <c r="AJ25" s="98"/>
      <c r="AK25" s="31"/>
      <c r="AL25" s="98"/>
      <c r="AM25" s="31"/>
      <c r="AN25" s="98"/>
      <c r="AO25" s="31"/>
      <c r="AP25" s="98"/>
      <c r="AQ25" s="31"/>
      <c r="AR25" s="98"/>
      <c r="AS25" s="31"/>
      <c r="AT25" s="98"/>
      <c r="AU25" s="31"/>
      <c r="AV25" s="98"/>
      <c r="AW25" s="31"/>
      <c r="AX25" s="98"/>
      <c r="AY25" s="31"/>
      <c r="AZ25" s="98"/>
      <c r="BA25" s="31"/>
      <c r="BB25" s="98"/>
      <c r="BC25" s="97"/>
      <c r="BD25" s="98"/>
      <c r="BE25" s="31"/>
      <c r="BF25" s="98"/>
      <c r="BG25" s="31"/>
      <c r="BH25" s="98"/>
      <c r="BI25" s="31"/>
      <c r="BJ25" s="98"/>
      <c r="BK25" s="31"/>
      <c r="BL25" s="98"/>
      <c r="BM25" s="31"/>
      <c r="BN25" s="98"/>
      <c r="BO25" s="31"/>
      <c r="BP25" s="98"/>
      <c r="BQ25" s="31"/>
      <c r="BR25" s="98"/>
      <c r="BS25" s="31"/>
      <c r="BT25" s="98"/>
      <c r="BU25" s="31"/>
      <c r="BV25" s="98"/>
      <c r="BW25" s="31"/>
      <c r="BX25" s="98"/>
      <c r="BY25" s="31"/>
      <c r="BZ25" s="98"/>
      <c r="CA25" s="31"/>
      <c r="CB25" s="98"/>
      <c r="CC25" s="31"/>
      <c r="CD25" s="98"/>
      <c r="CE25" s="31"/>
      <c r="CF25" s="98"/>
      <c r="CG25" s="31"/>
      <c r="CH25" s="98"/>
    </row>
    <row r="26" spans="1:87" ht="10.5" customHeight="1" x14ac:dyDescent="0.25">
      <c r="B26">
        <v>14</v>
      </c>
      <c r="D26" s="441"/>
      <c r="E26" s="31"/>
      <c r="F26" s="101" t="s">
        <v>49</v>
      </c>
      <c r="G26" s="31"/>
      <c r="H26" s="107" t="s">
        <v>49</v>
      </c>
      <c r="I26" s="31"/>
      <c r="J26" s="98"/>
      <c r="K26" s="31"/>
      <c r="L26" s="98"/>
      <c r="M26" s="31"/>
      <c r="N26" s="98"/>
      <c r="O26" s="97"/>
      <c r="P26" s="98"/>
      <c r="Q26" s="31"/>
      <c r="R26" s="98"/>
      <c r="S26" s="31"/>
      <c r="T26" s="98"/>
      <c r="U26" s="31"/>
      <c r="V26" s="98"/>
      <c r="W26" s="31"/>
      <c r="X26" s="98"/>
      <c r="Y26" s="31"/>
      <c r="Z26" s="98"/>
      <c r="AA26" s="31"/>
      <c r="AB26" s="98"/>
      <c r="AC26" s="31"/>
      <c r="AD26" s="98"/>
      <c r="AE26" s="31"/>
      <c r="AF26" s="31"/>
      <c r="AG26" s="97"/>
      <c r="AH26" s="98"/>
      <c r="AI26" s="31"/>
      <c r="AJ26" s="98"/>
      <c r="AK26" s="31"/>
      <c r="AL26" s="98"/>
      <c r="AM26" s="31"/>
      <c r="AN26" s="98"/>
      <c r="AO26" s="31"/>
      <c r="AP26" s="98"/>
      <c r="AQ26" s="31"/>
      <c r="AR26" s="98"/>
      <c r="AS26" s="31"/>
      <c r="AT26" s="98"/>
      <c r="AU26" s="31"/>
      <c r="AV26" s="98"/>
      <c r="AW26" s="31"/>
      <c r="AX26" s="98"/>
      <c r="AY26" s="31"/>
      <c r="AZ26" s="98"/>
      <c r="BA26" s="31"/>
      <c r="BB26" s="98"/>
      <c r="BC26" s="97"/>
      <c r="BD26" s="98"/>
      <c r="BE26" s="31"/>
      <c r="BF26" s="98"/>
      <c r="BG26" s="31"/>
      <c r="BH26" s="98"/>
      <c r="BI26" s="31"/>
      <c r="BJ26" s="98"/>
      <c r="BK26" s="31"/>
      <c r="BL26" s="98"/>
      <c r="BM26" s="31"/>
      <c r="BN26" s="98"/>
      <c r="BO26" s="31"/>
      <c r="BP26" s="98"/>
      <c r="BQ26" s="31"/>
      <c r="BR26" s="98"/>
      <c r="BS26" s="31"/>
      <c r="BT26" s="98"/>
      <c r="BU26" s="31"/>
      <c r="BV26" s="98"/>
      <c r="BW26" s="31"/>
      <c r="BX26" s="98"/>
      <c r="BY26" s="31"/>
      <c r="BZ26" s="98"/>
      <c r="CA26" s="31"/>
      <c r="CB26" s="98"/>
      <c r="CC26" s="31"/>
      <c r="CD26" s="98"/>
      <c r="CE26" s="31"/>
      <c r="CF26" s="98"/>
      <c r="CG26" s="31"/>
      <c r="CH26" s="98"/>
    </row>
    <row r="27" spans="1:87" ht="10.5" customHeight="1" x14ac:dyDescent="0.25">
      <c r="B27">
        <v>15</v>
      </c>
      <c r="D27" s="441"/>
      <c r="E27" s="31"/>
      <c r="F27" s="125"/>
      <c r="G27" s="31"/>
      <c r="H27" s="98"/>
      <c r="I27" s="31"/>
      <c r="J27" s="98"/>
      <c r="K27" s="31"/>
      <c r="L27" s="98"/>
      <c r="M27" s="31"/>
      <c r="N27" s="98"/>
      <c r="O27" s="97"/>
      <c r="P27" s="98"/>
      <c r="Q27" s="31"/>
      <c r="R27" s="98"/>
      <c r="S27" s="31"/>
      <c r="T27" s="98"/>
      <c r="U27" s="31"/>
      <c r="V27" s="98"/>
      <c r="W27" s="31"/>
      <c r="X27" s="98"/>
      <c r="Y27" s="31"/>
      <c r="Z27" s="98"/>
      <c r="AA27" s="31"/>
      <c r="AB27" s="98"/>
      <c r="AC27" s="31"/>
      <c r="AD27" s="98"/>
      <c r="AE27" s="31"/>
      <c r="AF27" s="31"/>
      <c r="AG27" s="97"/>
      <c r="AH27" s="98"/>
      <c r="AI27" s="31"/>
      <c r="AJ27" s="98"/>
      <c r="AK27" s="31"/>
      <c r="AL27" s="98"/>
      <c r="AM27" s="31"/>
      <c r="AN27" s="98"/>
      <c r="AO27" s="31"/>
      <c r="AP27" s="98"/>
      <c r="AQ27" s="31"/>
      <c r="AR27" s="98"/>
      <c r="AS27" s="31"/>
      <c r="AT27" s="98"/>
      <c r="AU27" s="31"/>
      <c r="AV27" s="98"/>
      <c r="AW27" s="31"/>
      <c r="AX27" s="98"/>
      <c r="AY27" s="31"/>
      <c r="AZ27" s="98"/>
      <c r="BA27" s="31"/>
      <c r="BB27" s="98"/>
      <c r="BC27" s="97"/>
      <c r="BD27" s="98"/>
      <c r="BE27" s="31"/>
      <c r="BF27" s="98"/>
      <c r="BG27" s="31"/>
      <c r="BH27" s="98"/>
      <c r="BI27" s="31"/>
      <c r="BJ27" s="98"/>
      <c r="BK27" s="31"/>
      <c r="BL27" s="98"/>
      <c r="BM27" s="31"/>
      <c r="BN27" s="98"/>
      <c r="BO27" s="31"/>
      <c r="BP27" s="98"/>
      <c r="BQ27" s="31"/>
      <c r="BR27" s="98"/>
      <c r="BS27" s="31"/>
      <c r="BT27" s="98"/>
      <c r="BU27" s="31"/>
      <c r="BV27" s="98"/>
      <c r="BW27" s="31"/>
      <c r="BX27" s="98"/>
      <c r="BY27" s="31"/>
      <c r="BZ27" s="98"/>
      <c r="CA27" s="31"/>
      <c r="CB27" s="98"/>
      <c r="CC27" s="31"/>
      <c r="CD27" s="98"/>
      <c r="CE27" s="31"/>
      <c r="CF27" s="98"/>
      <c r="CG27" s="31"/>
      <c r="CH27" s="98"/>
    </row>
    <row r="28" spans="1:87" ht="10.5" customHeight="1" thickBot="1" x14ac:dyDescent="0.3">
      <c r="B28">
        <v>16</v>
      </c>
      <c r="D28" s="448"/>
      <c r="E28" s="122"/>
      <c r="F28" s="121"/>
      <c r="G28" s="122"/>
      <c r="H28" s="121"/>
      <c r="I28" s="122"/>
      <c r="J28" s="121"/>
      <c r="K28" s="122"/>
      <c r="L28" s="121"/>
      <c r="M28" s="122"/>
      <c r="N28" s="121"/>
      <c r="O28" s="120"/>
      <c r="P28" s="121"/>
      <c r="Q28" s="122"/>
      <c r="R28" s="121"/>
      <c r="S28" s="122"/>
      <c r="T28" s="121"/>
      <c r="U28" s="122"/>
      <c r="V28" s="121"/>
      <c r="W28" s="122"/>
      <c r="X28" s="121"/>
      <c r="Y28" s="122"/>
      <c r="Z28" s="121"/>
      <c r="AA28" s="122"/>
      <c r="AB28" s="121"/>
      <c r="AC28" s="122"/>
      <c r="AD28" s="121"/>
      <c r="AE28" s="122"/>
      <c r="AF28" s="122"/>
      <c r="AG28" s="120"/>
      <c r="AH28" s="121"/>
      <c r="AI28" s="122"/>
      <c r="AJ28" s="121"/>
      <c r="AK28" s="122"/>
      <c r="AL28" s="121"/>
      <c r="AM28" s="122"/>
      <c r="AN28" s="121"/>
      <c r="AO28" s="122"/>
      <c r="AP28" s="121"/>
      <c r="AQ28" s="122"/>
      <c r="AR28" s="121"/>
      <c r="AS28" s="122"/>
      <c r="AT28" s="121"/>
      <c r="AU28" s="122"/>
      <c r="AV28" s="121"/>
      <c r="AW28" s="122"/>
      <c r="AX28" s="121"/>
      <c r="AY28" s="122"/>
      <c r="AZ28" s="121"/>
      <c r="BA28" s="122"/>
      <c r="BB28" s="121"/>
      <c r="BC28" s="120"/>
      <c r="BD28" s="121"/>
      <c r="BE28" s="122"/>
      <c r="BF28" s="121"/>
      <c r="BG28" s="122"/>
      <c r="BH28" s="121"/>
      <c r="BI28" s="122"/>
      <c r="BJ28" s="121"/>
      <c r="BK28" s="122"/>
      <c r="BL28" s="121"/>
      <c r="BM28" s="122"/>
      <c r="BN28" s="121"/>
      <c r="BO28" s="122"/>
      <c r="BP28" s="121"/>
      <c r="BQ28" s="122"/>
      <c r="BR28" s="121"/>
      <c r="BS28" s="122"/>
      <c r="BT28" s="121"/>
      <c r="BU28" s="122"/>
      <c r="BV28" s="121"/>
      <c r="BW28" s="122"/>
      <c r="BX28" s="121"/>
      <c r="BY28" s="122"/>
      <c r="BZ28" s="121"/>
      <c r="CA28" s="122"/>
      <c r="CB28" s="121"/>
      <c r="CC28" s="122"/>
      <c r="CD28" s="121"/>
      <c r="CE28" s="122"/>
      <c r="CF28" s="121"/>
      <c r="CG28" s="122"/>
      <c r="CH28" s="121"/>
      <c r="CI28" s="95"/>
    </row>
    <row r="29" spans="1:87" ht="10.5" customHeight="1" thickTop="1" x14ac:dyDescent="0.25">
      <c r="B29">
        <v>17</v>
      </c>
      <c r="C29">
        <f>IF(AND(B5&gt;B4,B6&lt;B4),3,0)</f>
        <v>0</v>
      </c>
      <c r="D29" s="449" t="s">
        <v>92</v>
      </c>
      <c r="E29" s="126"/>
      <c r="F29" s="123"/>
      <c r="G29" s="127"/>
      <c r="H29" s="123"/>
      <c r="I29" s="127"/>
      <c r="J29" s="123"/>
      <c r="K29" s="127"/>
      <c r="L29" s="123"/>
      <c r="M29" s="127"/>
      <c r="N29" s="123"/>
      <c r="O29" s="127"/>
      <c r="P29" s="123"/>
      <c r="Q29" s="127"/>
      <c r="R29" s="123"/>
      <c r="S29" s="127"/>
      <c r="T29" s="123"/>
      <c r="U29" s="127"/>
      <c r="V29" s="123"/>
      <c r="W29" s="127"/>
      <c r="X29" s="123"/>
      <c r="Y29" s="127"/>
      <c r="Z29" s="123"/>
      <c r="AA29" s="127"/>
      <c r="AB29" s="123"/>
      <c r="AC29" s="127"/>
      <c r="AD29" s="123"/>
      <c r="AE29" s="127"/>
      <c r="AF29" s="123"/>
      <c r="AG29" s="127"/>
      <c r="AH29" s="123"/>
      <c r="AI29" s="127"/>
      <c r="AJ29" s="123"/>
      <c r="AK29" s="127"/>
      <c r="AL29" s="123"/>
      <c r="AM29" s="127"/>
      <c r="AN29" s="123"/>
      <c r="AO29" s="127"/>
      <c r="AP29" s="123"/>
      <c r="AQ29" s="127"/>
      <c r="AR29" s="123"/>
      <c r="AS29" s="127"/>
      <c r="AT29" s="123"/>
      <c r="AU29" s="127"/>
      <c r="AV29" s="123"/>
      <c r="AW29" s="127"/>
      <c r="AX29" s="123"/>
      <c r="AY29" s="127"/>
      <c r="AZ29" s="123"/>
      <c r="BA29" s="127"/>
      <c r="BB29" s="128" t="s">
        <v>129</v>
      </c>
      <c r="BC29" s="97"/>
      <c r="BD29" s="98"/>
      <c r="BE29" s="31"/>
      <c r="BF29" s="98"/>
      <c r="BG29" s="127"/>
      <c r="BH29" s="123"/>
      <c r="BI29" s="127"/>
      <c r="BJ29" s="123"/>
      <c r="BK29" s="127"/>
      <c r="BL29" s="123"/>
      <c r="BM29" s="127"/>
      <c r="BN29" s="123"/>
      <c r="BO29" s="127"/>
      <c r="BP29" s="123"/>
      <c r="BQ29" s="127"/>
      <c r="BR29" s="123"/>
      <c r="BS29" s="127"/>
      <c r="BT29" s="123"/>
      <c r="BU29" s="127"/>
      <c r="BV29" s="123"/>
      <c r="BW29" s="127"/>
      <c r="BX29" s="123"/>
      <c r="BY29" s="127"/>
      <c r="BZ29" s="123"/>
      <c r="CA29" s="127"/>
      <c r="CB29" s="123"/>
      <c r="CC29" s="127"/>
      <c r="CD29" s="123"/>
      <c r="CE29" s="127"/>
      <c r="CF29" s="123"/>
      <c r="CG29" s="127"/>
      <c r="CH29" s="123"/>
    </row>
    <row r="30" spans="1:87" ht="10.5" customHeight="1" x14ac:dyDescent="0.25">
      <c r="B30">
        <v>18</v>
      </c>
      <c r="D30" s="441"/>
      <c r="E30" s="97"/>
      <c r="F30" s="98"/>
      <c r="G30" s="31"/>
      <c r="H30" s="98"/>
      <c r="I30" s="31"/>
      <c r="J30" s="98"/>
      <c r="K30" s="31"/>
      <c r="L30" s="98"/>
      <c r="M30" s="31"/>
      <c r="N30" s="98"/>
      <c r="O30" s="31"/>
      <c r="P30" s="98"/>
      <c r="Q30" s="31"/>
      <c r="R30" s="98"/>
      <c r="S30" s="31"/>
      <c r="T30" s="98"/>
      <c r="U30" s="31"/>
      <c r="V30" s="98"/>
      <c r="W30" s="31"/>
      <c r="X30" s="98"/>
      <c r="Y30" s="31"/>
      <c r="Z30" s="98"/>
      <c r="AA30" s="31"/>
      <c r="AB30" s="98"/>
      <c r="AC30" s="31"/>
      <c r="AD30" s="98"/>
      <c r="AE30" s="31"/>
      <c r="AF30" s="98"/>
      <c r="AG30" s="31"/>
      <c r="AH30" s="98"/>
      <c r="AI30" s="31"/>
      <c r="AJ30" s="98"/>
      <c r="AK30" s="31"/>
      <c r="AL30" s="98"/>
      <c r="AM30" s="31"/>
      <c r="AN30" s="98"/>
      <c r="AO30" s="31"/>
      <c r="AP30" s="98"/>
      <c r="AQ30" s="31"/>
      <c r="AR30" s="98"/>
      <c r="AS30" s="99" t="s">
        <v>128</v>
      </c>
      <c r="AT30" s="98"/>
      <c r="AU30" s="31"/>
      <c r="AV30" s="98"/>
      <c r="AW30" s="31"/>
      <c r="AX30" s="101" t="s">
        <v>128</v>
      </c>
      <c r="AY30" s="31"/>
      <c r="AZ30" s="101" t="s">
        <v>129</v>
      </c>
      <c r="BA30" s="31"/>
      <c r="BB30" s="101" t="s">
        <v>129</v>
      </c>
      <c r="BC30" s="97"/>
      <c r="BD30" s="98"/>
      <c r="BE30" s="31"/>
      <c r="BF30" s="98"/>
      <c r="BG30" s="31"/>
      <c r="BH30" s="98"/>
      <c r="BI30" s="31"/>
      <c r="BJ30" s="98"/>
      <c r="BK30" s="31"/>
      <c r="BL30" s="98"/>
      <c r="BM30" s="31"/>
      <c r="BN30" s="98"/>
      <c r="BO30" s="31"/>
      <c r="BP30" s="101" t="s">
        <v>128</v>
      </c>
      <c r="BQ30" s="99" t="s">
        <v>128</v>
      </c>
      <c r="BR30" s="98"/>
      <c r="BS30" s="31"/>
      <c r="BT30" s="98"/>
      <c r="BU30" s="31"/>
      <c r="BV30" s="98"/>
      <c r="BW30" s="31"/>
      <c r="BX30" s="98"/>
      <c r="BY30" s="31"/>
      <c r="BZ30" s="98"/>
      <c r="CA30" s="31"/>
      <c r="CB30" s="98"/>
      <c r="CC30" s="31"/>
      <c r="CD30" s="98"/>
      <c r="CE30" s="31"/>
      <c r="CF30" s="98"/>
      <c r="CG30" s="31"/>
      <c r="CH30" s="98"/>
    </row>
    <row r="31" spans="1:87" ht="10.5" customHeight="1" x14ac:dyDescent="0.25">
      <c r="B31">
        <v>19</v>
      </c>
      <c r="D31" s="441"/>
      <c r="E31" s="97"/>
      <c r="F31" s="98"/>
      <c r="G31" s="31"/>
      <c r="H31" s="98"/>
      <c r="I31" s="31"/>
      <c r="J31" s="98"/>
      <c r="K31" s="31"/>
      <c r="L31" s="98"/>
      <c r="M31" s="99" t="s">
        <v>128</v>
      </c>
      <c r="N31" s="98"/>
      <c r="O31" s="31"/>
      <c r="P31" s="98"/>
      <c r="Q31" s="31"/>
      <c r="R31" s="101" t="s">
        <v>128</v>
      </c>
      <c r="S31" s="31"/>
      <c r="T31" s="98"/>
      <c r="U31" s="31"/>
      <c r="V31" s="98"/>
      <c r="W31" s="99" t="s">
        <v>128</v>
      </c>
      <c r="X31" s="98"/>
      <c r="Y31" s="31"/>
      <c r="Z31" s="98"/>
      <c r="AA31" s="31"/>
      <c r="AB31" s="101" t="s">
        <v>128</v>
      </c>
      <c r="AC31" s="31"/>
      <c r="AD31" s="98"/>
      <c r="AE31" s="31"/>
      <c r="AF31" s="98"/>
      <c r="AG31" s="31"/>
      <c r="AH31" s="98"/>
      <c r="AI31" s="31"/>
      <c r="AJ31" s="98"/>
      <c r="AK31" s="31"/>
      <c r="AL31" s="98"/>
      <c r="AM31" s="99" t="s">
        <v>128</v>
      </c>
      <c r="AN31" s="98"/>
      <c r="AO31" s="31"/>
      <c r="AP31" s="98"/>
      <c r="AQ31" s="31"/>
      <c r="AR31" s="101" t="s">
        <v>128</v>
      </c>
      <c r="AS31" s="99" t="s">
        <v>128</v>
      </c>
      <c r="AT31" s="101" t="s">
        <v>128</v>
      </c>
      <c r="AU31" s="99" t="s">
        <v>128</v>
      </c>
      <c r="AV31" s="101" t="s">
        <v>128</v>
      </c>
      <c r="AW31" s="99" t="s">
        <v>128</v>
      </c>
      <c r="AX31" s="101" t="s">
        <v>128</v>
      </c>
      <c r="AY31" s="31"/>
      <c r="AZ31" s="101" t="s">
        <v>129</v>
      </c>
      <c r="BA31" s="31"/>
      <c r="BB31" s="98"/>
      <c r="BC31" s="100" t="s">
        <v>128</v>
      </c>
      <c r="BD31" s="98"/>
      <c r="BE31" s="99" t="s">
        <v>128</v>
      </c>
      <c r="BF31" s="98"/>
      <c r="BG31" s="31"/>
      <c r="BH31" s="98"/>
      <c r="BI31" s="99" t="s">
        <v>128</v>
      </c>
      <c r="BJ31" s="98"/>
      <c r="BK31" s="99" t="s">
        <v>128</v>
      </c>
      <c r="BL31" s="98"/>
      <c r="BM31" s="99" t="s">
        <v>128</v>
      </c>
      <c r="BN31" s="101" t="s">
        <v>128</v>
      </c>
      <c r="BO31" s="99" t="s">
        <v>128</v>
      </c>
      <c r="BP31" s="101" t="s">
        <v>128</v>
      </c>
      <c r="BQ31" s="99" t="s">
        <v>128</v>
      </c>
      <c r="BR31" s="98"/>
      <c r="BS31" s="90"/>
      <c r="BT31" s="98"/>
      <c r="BU31" s="90"/>
      <c r="BV31" s="98"/>
      <c r="BW31" s="90"/>
      <c r="BX31" s="98"/>
      <c r="BY31" s="90"/>
      <c r="BZ31" s="98"/>
      <c r="CA31" s="90"/>
      <c r="CB31" s="98"/>
      <c r="CC31" s="90"/>
      <c r="CD31" s="98"/>
      <c r="CE31" s="90"/>
      <c r="CF31" s="98"/>
      <c r="CG31" s="90"/>
      <c r="CH31" s="98"/>
    </row>
    <row r="32" spans="1:87" ht="10.5" customHeight="1" thickBot="1" x14ac:dyDescent="0.3">
      <c r="B32">
        <v>20</v>
      </c>
      <c r="D32" s="441"/>
      <c r="E32" s="113" t="s">
        <v>49</v>
      </c>
      <c r="F32" s="111"/>
      <c r="G32" s="129" t="s">
        <v>128</v>
      </c>
      <c r="H32" s="111"/>
      <c r="I32" s="116"/>
      <c r="J32" s="111"/>
      <c r="K32" s="124" t="s">
        <v>49</v>
      </c>
      <c r="L32" s="111"/>
      <c r="M32" s="124" t="s">
        <v>128</v>
      </c>
      <c r="N32" s="115" t="s">
        <v>128</v>
      </c>
      <c r="O32" s="124" t="s">
        <v>128</v>
      </c>
      <c r="P32" s="115" t="s">
        <v>128</v>
      </c>
      <c r="Q32" s="124" t="s">
        <v>128</v>
      </c>
      <c r="R32" s="115" t="s">
        <v>128</v>
      </c>
      <c r="S32" s="116"/>
      <c r="T32" s="111"/>
      <c r="U32" s="116"/>
      <c r="V32" s="111"/>
      <c r="W32" s="124" t="s">
        <v>128</v>
      </c>
      <c r="X32" s="115" t="s">
        <v>128</v>
      </c>
      <c r="Y32" s="124" t="s">
        <v>128</v>
      </c>
      <c r="Z32" s="115" t="s">
        <v>128</v>
      </c>
      <c r="AA32" s="124" t="s">
        <v>128</v>
      </c>
      <c r="AB32" s="115" t="s">
        <v>128</v>
      </c>
      <c r="AC32" s="116"/>
      <c r="AD32" s="111"/>
      <c r="AE32" s="116"/>
      <c r="AF32" s="111"/>
      <c r="AG32" s="116"/>
      <c r="AH32" s="111"/>
      <c r="AI32" s="116"/>
      <c r="AJ32" s="111"/>
      <c r="AK32" s="116"/>
      <c r="AL32" s="111"/>
      <c r="AM32" s="124" t="s">
        <v>128</v>
      </c>
      <c r="AN32" s="115" t="s">
        <v>128</v>
      </c>
      <c r="AO32" s="124" t="s">
        <v>128</v>
      </c>
      <c r="AP32" s="115" t="s">
        <v>128</v>
      </c>
      <c r="AQ32" s="124" t="s">
        <v>128</v>
      </c>
      <c r="AR32" s="115" t="s">
        <v>128</v>
      </c>
      <c r="AS32" s="124" t="s">
        <v>128</v>
      </c>
      <c r="AT32" s="111"/>
      <c r="AU32" s="124" t="s">
        <v>128</v>
      </c>
      <c r="AV32" s="111"/>
      <c r="AW32" s="124" t="s">
        <v>128</v>
      </c>
      <c r="AX32" s="111"/>
      <c r="AY32" s="124" t="s">
        <v>129</v>
      </c>
      <c r="AZ32" s="111"/>
      <c r="BA32" s="124" t="s">
        <v>129</v>
      </c>
      <c r="BB32" s="111"/>
      <c r="BC32" s="112" t="s">
        <v>128</v>
      </c>
      <c r="BD32" s="111"/>
      <c r="BE32" s="124" t="s">
        <v>128</v>
      </c>
      <c r="BF32" s="111"/>
      <c r="BG32" s="124" t="s">
        <v>128</v>
      </c>
      <c r="BH32" s="111"/>
      <c r="BI32" s="124" t="s">
        <v>128</v>
      </c>
      <c r="BJ32" s="111"/>
      <c r="BK32" s="124" t="s">
        <v>128</v>
      </c>
      <c r="BL32" s="115" t="s">
        <v>128</v>
      </c>
      <c r="BM32" s="124" t="s">
        <v>128</v>
      </c>
      <c r="BN32" s="115" t="s">
        <v>128</v>
      </c>
      <c r="BO32" s="124" t="s">
        <v>128</v>
      </c>
      <c r="BP32" s="115" t="s">
        <v>128</v>
      </c>
      <c r="BQ32" s="124" t="s">
        <v>128</v>
      </c>
      <c r="BR32" s="111"/>
      <c r="BS32" s="130"/>
      <c r="BT32" s="111"/>
      <c r="BU32" s="130"/>
      <c r="BV32" s="111"/>
      <c r="BW32" s="130"/>
      <c r="BX32" s="111"/>
      <c r="BY32" s="130"/>
      <c r="BZ32" s="111"/>
      <c r="CA32" s="130"/>
      <c r="CB32" s="111"/>
      <c r="CC32" s="130"/>
      <c r="CD32" s="111"/>
      <c r="CE32" s="130"/>
      <c r="CF32" s="111"/>
      <c r="CG32" s="130"/>
      <c r="CH32" s="111"/>
    </row>
    <row r="33" spans="2:87" ht="10.5" customHeight="1" x14ac:dyDescent="0.25">
      <c r="B33">
        <v>21</v>
      </c>
      <c r="D33" s="441"/>
      <c r="E33" s="99" t="s">
        <v>49</v>
      </c>
      <c r="F33" s="98"/>
      <c r="G33" s="99" t="s">
        <v>128</v>
      </c>
      <c r="H33" s="101" t="s">
        <v>128</v>
      </c>
      <c r="I33" s="31"/>
      <c r="J33" s="98"/>
      <c r="K33" s="99" t="s">
        <v>49</v>
      </c>
      <c r="L33" s="98"/>
      <c r="M33" s="99" t="s">
        <v>128</v>
      </c>
      <c r="N33" s="101" t="s">
        <v>128</v>
      </c>
      <c r="O33" s="99" t="s">
        <v>128</v>
      </c>
      <c r="P33" s="101" t="s">
        <v>128</v>
      </c>
      <c r="Q33" s="99" t="s">
        <v>128</v>
      </c>
      <c r="R33" s="101" t="s">
        <v>128</v>
      </c>
      <c r="S33" s="31"/>
      <c r="T33" s="98"/>
      <c r="U33" s="31"/>
      <c r="V33" s="98"/>
      <c r="W33" s="99" t="s">
        <v>128</v>
      </c>
      <c r="X33" s="98"/>
      <c r="Y33" s="99" t="s">
        <v>128</v>
      </c>
      <c r="Z33" s="98"/>
      <c r="AA33" s="99" t="s">
        <v>128</v>
      </c>
      <c r="AB33" s="98"/>
      <c r="AC33" s="31"/>
      <c r="AD33" s="98"/>
      <c r="AE33" s="31"/>
      <c r="AF33" s="98"/>
      <c r="AG33" s="31"/>
      <c r="AH33" s="98"/>
      <c r="AI33" s="31"/>
      <c r="AJ33" s="98"/>
      <c r="AK33" s="31"/>
      <c r="AL33" s="98"/>
      <c r="AM33" s="99" t="s">
        <v>128</v>
      </c>
      <c r="AN33" s="101" t="s">
        <v>128</v>
      </c>
      <c r="AO33" s="99" t="s">
        <v>128</v>
      </c>
      <c r="AP33" s="101" t="s">
        <v>128</v>
      </c>
      <c r="AQ33" s="99" t="s">
        <v>128</v>
      </c>
      <c r="AR33" s="101" t="s">
        <v>128</v>
      </c>
      <c r="AS33" s="99" t="s">
        <v>128</v>
      </c>
      <c r="AT33" s="98"/>
      <c r="AU33" s="99" t="s">
        <v>128</v>
      </c>
      <c r="AV33" s="98"/>
      <c r="AW33" s="99" t="s">
        <v>128</v>
      </c>
      <c r="AX33" s="98"/>
      <c r="AY33" s="99" t="s">
        <v>129</v>
      </c>
      <c r="AZ33" s="98"/>
      <c r="BA33" s="99" t="s">
        <v>129</v>
      </c>
      <c r="BB33" s="98"/>
      <c r="BC33" s="100" t="s">
        <v>128</v>
      </c>
      <c r="BD33" s="98"/>
      <c r="BE33" s="99" t="s">
        <v>128</v>
      </c>
      <c r="BF33" s="98"/>
      <c r="BG33" s="99" t="s">
        <v>128</v>
      </c>
      <c r="BH33" s="101" t="s">
        <v>128</v>
      </c>
      <c r="BI33" s="99" t="s">
        <v>128</v>
      </c>
      <c r="BJ33" s="101" t="s">
        <v>128</v>
      </c>
      <c r="BK33" s="99" t="s">
        <v>128</v>
      </c>
      <c r="BL33" s="101" t="s">
        <v>128</v>
      </c>
      <c r="BM33" s="99" t="s">
        <v>128</v>
      </c>
      <c r="BN33" s="101" t="s">
        <v>128</v>
      </c>
      <c r="BO33" s="99" t="s">
        <v>128</v>
      </c>
      <c r="BP33" s="101" t="s">
        <v>128</v>
      </c>
      <c r="BQ33" s="99" t="s">
        <v>128</v>
      </c>
      <c r="BR33" s="98"/>
      <c r="BS33" s="90"/>
      <c r="BT33" s="98"/>
      <c r="BU33" s="90"/>
      <c r="BV33" s="98"/>
      <c r="BW33" s="90"/>
      <c r="BX33" s="98"/>
      <c r="BY33" s="90"/>
      <c r="BZ33" s="98"/>
      <c r="CA33" s="90"/>
      <c r="CB33" s="98"/>
      <c r="CC33" s="90"/>
      <c r="CD33" s="98"/>
      <c r="CE33" s="90"/>
      <c r="CF33" s="98"/>
      <c r="CG33" s="90"/>
      <c r="CH33" s="98"/>
    </row>
    <row r="34" spans="2:87" ht="10.5" customHeight="1" x14ac:dyDescent="0.25">
      <c r="B34">
        <v>22</v>
      </c>
      <c r="D34" s="441"/>
      <c r="E34" s="31"/>
      <c r="F34" s="131"/>
      <c r="G34" s="31"/>
      <c r="H34" s="101" t="s">
        <v>128</v>
      </c>
      <c r="I34" s="31"/>
      <c r="J34" s="98"/>
      <c r="K34" s="31"/>
      <c r="L34" s="101" t="s">
        <v>49</v>
      </c>
      <c r="M34" s="99" t="s">
        <v>128</v>
      </c>
      <c r="N34" s="101" t="s">
        <v>128</v>
      </c>
      <c r="O34" s="31"/>
      <c r="P34" s="101" t="s">
        <v>128</v>
      </c>
      <c r="Q34" s="31"/>
      <c r="R34" s="101" t="s">
        <v>128</v>
      </c>
      <c r="S34" s="31"/>
      <c r="T34" s="98"/>
      <c r="U34" s="31"/>
      <c r="V34" s="98"/>
      <c r="W34" s="99" t="s">
        <v>128</v>
      </c>
      <c r="X34" s="98"/>
      <c r="Y34" s="31"/>
      <c r="Z34" s="98"/>
      <c r="AA34" s="31"/>
      <c r="AB34" s="98"/>
      <c r="AC34" s="31"/>
      <c r="AD34" s="98"/>
      <c r="AE34" s="31"/>
      <c r="AF34" s="98"/>
      <c r="AG34" s="31"/>
      <c r="AH34" s="98"/>
      <c r="AI34" s="31"/>
      <c r="AJ34" s="98"/>
      <c r="AK34" s="31"/>
      <c r="AL34" s="98"/>
      <c r="AM34" s="99" t="s">
        <v>128</v>
      </c>
      <c r="AN34" s="101" t="s">
        <v>128</v>
      </c>
      <c r="AO34" s="31"/>
      <c r="AP34" s="98"/>
      <c r="AQ34" s="31"/>
      <c r="AR34" s="98"/>
      <c r="AS34" s="99" t="s">
        <v>128</v>
      </c>
      <c r="AT34" s="98"/>
      <c r="AU34" s="99" t="s">
        <v>128</v>
      </c>
      <c r="AV34" s="98"/>
      <c r="AW34" s="99" t="s">
        <v>128</v>
      </c>
      <c r="AX34" s="98"/>
      <c r="AY34" s="31"/>
      <c r="AZ34" s="98"/>
      <c r="BA34" s="31"/>
      <c r="BB34" s="98"/>
      <c r="BC34" s="100" t="s">
        <v>128</v>
      </c>
      <c r="BD34" s="101" t="s">
        <v>128</v>
      </c>
      <c r="BE34" s="99" t="s">
        <v>128</v>
      </c>
      <c r="BF34" s="101" t="s">
        <v>128</v>
      </c>
      <c r="BG34" s="31"/>
      <c r="BH34" s="98"/>
      <c r="BI34" s="99" t="s">
        <v>128</v>
      </c>
      <c r="BJ34" s="98"/>
      <c r="BK34" s="99" t="s">
        <v>128</v>
      </c>
      <c r="BL34" s="98"/>
      <c r="BM34" s="99" t="s">
        <v>128</v>
      </c>
      <c r="BN34" s="98"/>
      <c r="BO34" s="99" t="s">
        <v>128</v>
      </c>
      <c r="BP34" s="98"/>
      <c r="BQ34" s="99" t="s">
        <v>128</v>
      </c>
      <c r="BR34" s="101" t="s">
        <v>128</v>
      </c>
      <c r="BS34" s="90"/>
      <c r="BT34" s="98"/>
      <c r="BU34" s="90"/>
      <c r="BV34" s="98"/>
      <c r="BW34" s="90"/>
      <c r="BX34" s="98"/>
      <c r="BY34" s="90"/>
      <c r="BZ34" s="98"/>
      <c r="CA34" s="90"/>
      <c r="CB34" s="98"/>
      <c r="CC34" s="90"/>
      <c r="CD34" s="98"/>
      <c r="CE34" s="90"/>
      <c r="CF34" s="98"/>
      <c r="CG34" s="90"/>
      <c r="CH34" s="98"/>
    </row>
    <row r="35" spans="2:87" ht="10.5" customHeight="1" x14ac:dyDescent="0.25">
      <c r="B35">
        <v>23</v>
      </c>
      <c r="D35" s="441"/>
      <c r="E35" s="31"/>
      <c r="F35" s="104" t="s">
        <v>49</v>
      </c>
      <c r="G35" s="31"/>
      <c r="H35" s="98"/>
      <c r="I35" s="31"/>
      <c r="J35" s="98"/>
      <c r="K35" s="31"/>
      <c r="L35" s="101" t="s">
        <v>49</v>
      </c>
      <c r="M35" s="31"/>
      <c r="N35" s="101" t="s">
        <v>128</v>
      </c>
      <c r="O35" s="31"/>
      <c r="P35" s="98"/>
      <c r="Q35" s="31"/>
      <c r="R35" s="98"/>
      <c r="S35" s="31"/>
      <c r="T35" s="98"/>
      <c r="U35" s="31"/>
      <c r="V35" s="98"/>
      <c r="W35" s="31"/>
      <c r="X35" s="98"/>
      <c r="Y35" s="31"/>
      <c r="Z35" s="98"/>
      <c r="AA35" s="31"/>
      <c r="AB35" s="98"/>
      <c r="AC35" s="31"/>
      <c r="AD35" s="98"/>
      <c r="AE35" s="31"/>
      <c r="AF35" s="98"/>
      <c r="AG35" s="31"/>
      <c r="AH35" s="98"/>
      <c r="AI35" s="31"/>
      <c r="AJ35" s="98"/>
      <c r="AK35" s="31"/>
      <c r="AL35" s="98"/>
      <c r="AM35" s="31"/>
      <c r="AN35" s="98"/>
      <c r="AO35" s="31"/>
      <c r="AP35" s="98"/>
      <c r="AQ35" s="31"/>
      <c r="AR35" s="98"/>
      <c r="AS35" s="99" t="s">
        <v>128</v>
      </c>
      <c r="AT35" s="98"/>
      <c r="AU35" s="31"/>
      <c r="AV35" s="98"/>
      <c r="AW35" s="31"/>
      <c r="AX35" s="98"/>
      <c r="AY35" s="31"/>
      <c r="AZ35" s="98"/>
      <c r="BA35" s="31"/>
      <c r="BB35" s="98"/>
      <c r="BC35" s="97"/>
      <c r="BD35" s="101" t="s">
        <v>128</v>
      </c>
      <c r="BE35" s="31"/>
      <c r="BF35" s="98"/>
      <c r="BG35" s="31"/>
      <c r="BH35" s="98"/>
      <c r="BI35" s="31"/>
      <c r="BJ35" s="98"/>
      <c r="BK35" s="31"/>
      <c r="BL35" s="98"/>
      <c r="BM35" s="31"/>
      <c r="BN35" s="98"/>
      <c r="BO35" s="31"/>
      <c r="BP35" s="98"/>
      <c r="BQ35" s="99" t="s">
        <v>128</v>
      </c>
      <c r="BR35" s="98"/>
      <c r="BS35" s="31"/>
      <c r="BT35" s="98"/>
      <c r="BU35" s="31"/>
      <c r="BV35" s="98"/>
      <c r="BW35" s="31"/>
      <c r="BX35" s="98"/>
      <c r="BY35" s="31"/>
      <c r="BZ35" s="98"/>
      <c r="CA35" s="31"/>
      <c r="CB35" s="98"/>
      <c r="CC35" s="31"/>
      <c r="CD35" s="98"/>
      <c r="CE35" s="31"/>
      <c r="CF35" s="98"/>
      <c r="CG35" s="31"/>
      <c r="CH35" s="98"/>
    </row>
    <row r="36" spans="2:87" ht="10.5" customHeight="1" thickBot="1" x14ac:dyDescent="0.3">
      <c r="B36">
        <v>24</v>
      </c>
      <c r="D36" s="448"/>
      <c r="E36" s="122"/>
      <c r="F36" s="132" t="s">
        <v>49</v>
      </c>
      <c r="G36" s="122"/>
      <c r="H36" s="121"/>
      <c r="I36" s="122"/>
      <c r="J36" s="121"/>
      <c r="K36" s="122"/>
      <c r="L36" s="121"/>
      <c r="M36" s="122"/>
      <c r="N36" s="121"/>
      <c r="O36" s="122"/>
      <c r="P36" s="121"/>
      <c r="Q36" s="122"/>
      <c r="R36" s="121"/>
      <c r="S36" s="122"/>
      <c r="T36" s="121"/>
      <c r="U36" s="122"/>
      <c r="V36" s="121"/>
      <c r="W36" s="122"/>
      <c r="X36" s="121"/>
      <c r="Y36" s="122"/>
      <c r="Z36" s="121"/>
      <c r="AA36" s="122"/>
      <c r="AB36" s="121"/>
      <c r="AC36" s="122"/>
      <c r="AD36" s="121"/>
      <c r="AE36" s="122"/>
      <c r="AF36" s="121"/>
      <c r="AG36" s="122"/>
      <c r="AH36" s="121"/>
      <c r="AI36" s="122"/>
      <c r="AJ36" s="121"/>
      <c r="AK36" s="122"/>
      <c r="AL36" s="121"/>
      <c r="AM36" s="122"/>
      <c r="AN36" s="121"/>
      <c r="AO36" s="122"/>
      <c r="AP36" s="121"/>
      <c r="AQ36" s="122"/>
      <c r="AR36" s="121"/>
      <c r="AS36" s="122"/>
      <c r="AT36" s="121"/>
      <c r="AU36" s="122"/>
      <c r="AV36" s="121"/>
      <c r="AW36" s="122"/>
      <c r="AX36" s="121"/>
      <c r="AY36" s="122"/>
      <c r="AZ36" s="121"/>
      <c r="BA36" s="122"/>
      <c r="BB36" s="121"/>
      <c r="BC36" s="120"/>
      <c r="BD36" s="121"/>
      <c r="BE36" s="122"/>
      <c r="BF36" s="121"/>
      <c r="BG36" s="122"/>
      <c r="BH36" s="121"/>
      <c r="BI36" s="122"/>
      <c r="BJ36" s="121"/>
      <c r="BK36" s="122"/>
      <c r="BL36" s="121"/>
      <c r="BM36" s="122"/>
      <c r="BN36" s="121"/>
      <c r="BO36" s="122"/>
      <c r="BP36" s="121"/>
      <c r="BQ36" s="122"/>
      <c r="BR36" s="121"/>
      <c r="BS36" s="122"/>
      <c r="BT36" s="121"/>
      <c r="BU36" s="122"/>
      <c r="BV36" s="121"/>
      <c r="BW36" s="122"/>
      <c r="BX36" s="121"/>
      <c r="BY36" s="122"/>
      <c r="BZ36" s="121"/>
      <c r="CA36" s="122"/>
      <c r="CB36" s="121"/>
      <c r="CC36" s="122"/>
      <c r="CD36" s="121"/>
      <c r="CE36" s="122"/>
      <c r="CF36" s="121"/>
      <c r="CG36" s="122"/>
      <c r="CH36" s="121"/>
    </row>
    <row r="37" spans="2:87" ht="10.5" customHeight="1" thickTop="1" x14ac:dyDescent="0.25">
      <c r="B37">
        <v>25</v>
      </c>
      <c r="C37">
        <f>IF(B5=B4,4,0)</f>
        <v>4</v>
      </c>
      <c r="D37" s="447" t="s">
        <v>108</v>
      </c>
      <c r="E37" s="126"/>
      <c r="F37" s="123"/>
      <c r="G37" s="127"/>
      <c r="H37" s="123"/>
      <c r="I37" s="127"/>
      <c r="J37" s="123"/>
      <c r="K37" s="127"/>
      <c r="L37" s="123"/>
      <c r="M37" s="127"/>
      <c r="N37" s="123"/>
      <c r="O37" s="127"/>
      <c r="P37" s="123"/>
      <c r="Q37" s="127"/>
      <c r="R37" s="123"/>
      <c r="S37" s="127"/>
      <c r="T37" s="123"/>
      <c r="U37" s="127"/>
      <c r="V37" s="123"/>
      <c r="W37" s="127"/>
      <c r="X37" s="123"/>
      <c r="Y37" s="127"/>
      <c r="Z37" s="123"/>
      <c r="AA37" s="127"/>
      <c r="AB37" s="123"/>
      <c r="AC37" s="127"/>
      <c r="AD37" s="127"/>
      <c r="AE37" s="127"/>
      <c r="AF37" s="127"/>
      <c r="AG37" s="127"/>
      <c r="AH37" s="127"/>
      <c r="AI37" s="127"/>
      <c r="AJ37" s="127"/>
      <c r="AK37" s="127"/>
      <c r="AL37" s="127"/>
      <c r="AM37" s="127"/>
      <c r="AN37" s="123"/>
      <c r="AO37" s="127"/>
      <c r="AP37" s="123"/>
      <c r="AQ37" s="127"/>
      <c r="AR37" s="123"/>
      <c r="AS37" s="127"/>
      <c r="AT37" s="123"/>
      <c r="AU37" s="127"/>
      <c r="AV37" s="127"/>
      <c r="AW37" s="127"/>
      <c r="AX37" s="123"/>
      <c r="AY37" s="127"/>
      <c r="AZ37" s="123"/>
      <c r="BA37" s="127"/>
      <c r="BB37" s="123"/>
      <c r="BC37" s="97"/>
      <c r="BD37" s="98"/>
      <c r="BE37" s="31"/>
      <c r="BF37" s="98"/>
      <c r="BG37" s="31"/>
      <c r="BH37" s="98"/>
      <c r="BI37" s="31"/>
      <c r="BJ37" s="98"/>
      <c r="BK37" s="31"/>
      <c r="BL37" s="98"/>
      <c r="BM37" s="31"/>
      <c r="BN37" s="98"/>
      <c r="BO37" s="31"/>
      <c r="BP37" s="98"/>
      <c r="BQ37" s="31"/>
      <c r="BR37" s="98"/>
      <c r="BS37" s="31"/>
      <c r="BT37" s="98"/>
      <c r="BU37" s="31"/>
      <c r="BV37" s="98"/>
      <c r="BW37" s="31"/>
      <c r="BX37" s="98"/>
      <c r="BY37" s="31"/>
      <c r="BZ37" s="98"/>
      <c r="CA37" s="31"/>
      <c r="CB37" s="98"/>
      <c r="CC37" s="31"/>
      <c r="CD37" s="98"/>
      <c r="CE37" s="31"/>
      <c r="CF37" s="98"/>
      <c r="CG37" s="31"/>
      <c r="CH37" s="98"/>
    </row>
    <row r="38" spans="2:87" ht="10.5" customHeight="1" x14ac:dyDescent="0.25">
      <c r="B38">
        <v>26</v>
      </c>
      <c r="D38" s="441"/>
      <c r="E38" s="97"/>
      <c r="F38" s="98"/>
      <c r="G38" s="31"/>
      <c r="H38" s="98"/>
      <c r="I38" s="31"/>
      <c r="J38" s="98"/>
      <c r="K38" s="31"/>
      <c r="L38" s="98"/>
      <c r="M38" s="31"/>
      <c r="N38" s="98"/>
      <c r="O38" s="31"/>
      <c r="P38" s="98"/>
      <c r="Q38" s="31"/>
      <c r="R38" s="98"/>
      <c r="S38" s="31"/>
      <c r="T38" s="98"/>
      <c r="U38" s="31"/>
      <c r="V38" s="98"/>
      <c r="W38" s="31"/>
      <c r="X38" s="98"/>
      <c r="Y38" s="31"/>
      <c r="Z38" s="98"/>
      <c r="AA38" s="31"/>
      <c r="AB38" s="98"/>
      <c r="AC38" s="31"/>
      <c r="AD38" s="31"/>
      <c r="AE38" s="31"/>
      <c r="AF38" s="31"/>
      <c r="AG38" s="31"/>
      <c r="AH38" s="31"/>
      <c r="AI38" s="31"/>
      <c r="AJ38" s="31"/>
      <c r="AK38" s="31"/>
      <c r="AL38" s="31"/>
      <c r="AM38" s="31"/>
      <c r="AN38" s="98"/>
      <c r="AO38" s="31"/>
      <c r="AP38" s="98"/>
      <c r="AQ38" s="31"/>
      <c r="AR38" s="98"/>
      <c r="AS38" s="31"/>
      <c r="AT38" s="98"/>
      <c r="AU38" s="31"/>
      <c r="AV38" s="31"/>
      <c r="AW38" s="31"/>
      <c r="AX38" s="98"/>
      <c r="AY38" s="31"/>
      <c r="AZ38" s="98"/>
      <c r="BA38" s="31"/>
      <c r="BB38" s="98"/>
      <c r="BC38" s="97"/>
      <c r="BD38" s="98"/>
      <c r="BE38" s="31"/>
      <c r="BF38" s="98"/>
      <c r="BG38" s="31"/>
      <c r="BH38" s="98"/>
      <c r="BI38" s="31"/>
      <c r="BJ38" s="98"/>
      <c r="BK38" s="31"/>
      <c r="BL38" s="98"/>
      <c r="BM38" s="31"/>
      <c r="BN38" s="98"/>
      <c r="BO38" s="31"/>
      <c r="BP38" s="98"/>
      <c r="BQ38" s="31"/>
      <c r="BR38" s="98"/>
      <c r="BS38" s="31"/>
      <c r="BT38" s="98"/>
      <c r="BU38" s="31"/>
      <c r="BV38" s="98"/>
      <c r="BW38" s="31"/>
      <c r="BX38" s="98"/>
      <c r="BY38" s="31"/>
      <c r="BZ38" s="98"/>
      <c r="CA38" s="31"/>
      <c r="CB38" s="98"/>
      <c r="CC38" s="31"/>
      <c r="CD38" s="98"/>
      <c r="CE38" s="31"/>
      <c r="CF38" s="98"/>
      <c r="CG38" s="31"/>
      <c r="CH38" s="98"/>
    </row>
    <row r="39" spans="2:87" ht="10.5" customHeight="1" x14ac:dyDescent="0.25">
      <c r="B39">
        <v>27</v>
      </c>
      <c r="D39" s="441"/>
      <c r="E39" s="97"/>
      <c r="F39" s="98"/>
      <c r="G39" s="31"/>
      <c r="H39" s="98"/>
      <c r="I39" s="31"/>
      <c r="J39" s="98"/>
      <c r="K39" s="31"/>
      <c r="L39" s="98"/>
      <c r="M39" s="31"/>
      <c r="N39" s="98"/>
      <c r="O39" s="31"/>
      <c r="P39" s="98"/>
      <c r="Q39" s="31"/>
      <c r="R39" s="98"/>
      <c r="S39" s="31"/>
      <c r="T39" s="98"/>
      <c r="U39" s="31"/>
      <c r="V39" s="98"/>
      <c r="W39" s="31"/>
      <c r="X39" s="98"/>
      <c r="Y39" s="31"/>
      <c r="Z39" s="98"/>
      <c r="AA39" s="31"/>
      <c r="AB39" s="98"/>
      <c r="AC39" s="31"/>
      <c r="AD39" s="31"/>
      <c r="AE39" s="31"/>
      <c r="AF39" s="31"/>
      <c r="AG39" s="31"/>
      <c r="AH39" s="31"/>
      <c r="AI39" s="31"/>
      <c r="AJ39" s="31"/>
      <c r="AK39" s="31"/>
      <c r="AL39" s="31"/>
      <c r="AM39" s="31"/>
      <c r="AN39" s="98"/>
      <c r="AO39" s="31"/>
      <c r="AP39" s="98"/>
      <c r="AQ39" s="31"/>
      <c r="AR39" s="98"/>
      <c r="AS39" s="31"/>
      <c r="AT39" s="98"/>
      <c r="AU39" s="31"/>
      <c r="AV39" s="31"/>
      <c r="AW39" s="31"/>
      <c r="AX39" s="98"/>
      <c r="AY39" s="31"/>
      <c r="AZ39" s="98"/>
      <c r="BA39" s="31"/>
      <c r="BB39" s="101" t="s">
        <v>129</v>
      </c>
      <c r="BC39" s="97"/>
      <c r="BD39" s="98"/>
      <c r="BE39" s="31"/>
      <c r="BF39" s="98"/>
      <c r="BG39" s="31"/>
      <c r="BH39" s="98"/>
      <c r="BI39" s="31"/>
      <c r="BJ39" s="98"/>
      <c r="BK39" s="31"/>
      <c r="BL39" s="98"/>
      <c r="BM39" s="31"/>
      <c r="BN39" s="98"/>
      <c r="BO39" s="31"/>
      <c r="BP39" s="98"/>
      <c r="BQ39" s="31"/>
      <c r="BR39" s="98"/>
      <c r="BS39" s="31"/>
      <c r="BT39" s="98"/>
      <c r="BU39" s="31"/>
      <c r="BV39" s="98"/>
      <c r="BW39" s="31"/>
      <c r="BX39" s="98"/>
      <c r="BY39" s="31"/>
      <c r="BZ39" s="98"/>
      <c r="CA39" s="31"/>
      <c r="CB39" s="98"/>
      <c r="CC39" s="31"/>
      <c r="CD39" s="98"/>
      <c r="CE39" s="31"/>
      <c r="CF39" s="98"/>
      <c r="CG39" s="31"/>
      <c r="CH39" s="98"/>
    </row>
    <row r="40" spans="2:87" ht="10.5" customHeight="1" thickBot="1" x14ac:dyDescent="0.3">
      <c r="B40">
        <v>28</v>
      </c>
      <c r="D40" s="441"/>
      <c r="E40" s="110"/>
      <c r="F40" s="111"/>
      <c r="G40" s="116"/>
      <c r="H40" s="111"/>
      <c r="I40" s="116"/>
      <c r="J40" s="111"/>
      <c r="K40" s="116"/>
      <c r="L40" s="111"/>
      <c r="M40" s="116"/>
      <c r="N40" s="111"/>
      <c r="O40" s="116"/>
      <c r="P40" s="111"/>
      <c r="Q40" s="116"/>
      <c r="R40" s="115" t="s">
        <v>128</v>
      </c>
      <c r="S40" s="116"/>
      <c r="T40" s="111"/>
      <c r="U40" s="116"/>
      <c r="V40" s="111"/>
      <c r="W40" s="116"/>
      <c r="X40" s="111"/>
      <c r="Y40" s="116"/>
      <c r="Z40" s="111"/>
      <c r="AA40" s="116"/>
      <c r="AB40" s="115" t="s">
        <v>129</v>
      </c>
      <c r="AC40" s="116"/>
      <c r="AD40" s="116"/>
      <c r="AE40" s="116"/>
      <c r="AF40" s="116"/>
      <c r="AG40" s="116"/>
      <c r="AH40" s="116"/>
      <c r="AI40" s="116"/>
      <c r="AJ40" s="116"/>
      <c r="AK40" s="116"/>
      <c r="AL40" s="116"/>
      <c r="AM40" s="116"/>
      <c r="AN40" s="111"/>
      <c r="AO40" s="116"/>
      <c r="AP40" s="111"/>
      <c r="AQ40" s="116"/>
      <c r="AR40" s="115" t="s">
        <v>128</v>
      </c>
      <c r="AS40" s="116"/>
      <c r="AT40" s="111"/>
      <c r="AU40" s="116"/>
      <c r="AV40" s="116"/>
      <c r="AW40" s="116"/>
      <c r="AX40" s="111"/>
      <c r="AY40" s="116"/>
      <c r="AZ40" s="111"/>
      <c r="BA40" s="116"/>
      <c r="BB40" s="111"/>
      <c r="BC40" s="110"/>
      <c r="BD40" s="111"/>
      <c r="BE40" s="116"/>
      <c r="BF40" s="111"/>
      <c r="BG40" s="116"/>
      <c r="BH40" s="111"/>
      <c r="BI40" s="116"/>
      <c r="BJ40" s="111"/>
      <c r="BK40" s="116"/>
      <c r="BL40" s="111"/>
      <c r="BM40" s="116"/>
      <c r="BN40" s="111"/>
      <c r="BO40" s="116"/>
      <c r="BP40" s="115" t="s">
        <v>128</v>
      </c>
      <c r="BQ40" s="116"/>
      <c r="BR40" s="111"/>
      <c r="BS40" s="116"/>
      <c r="BT40" s="111"/>
      <c r="BU40" s="116"/>
      <c r="BV40" s="111"/>
      <c r="BW40" s="116"/>
      <c r="BX40" s="111"/>
      <c r="BY40" s="116"/>
      <c r="BZ40" s="111"/>
      <c r="CA40" s="116"/>
      <c r="CB40" s="111"/>
      <c r="CC40" s="116"/>
      <c r="CD40" s="111"/>
      <c r="CE40" s="116"/>
      <c r="CF40" s="111"/>
      <c r="CG40" s="116"/>
      <c r="CH40" s="111"/>
    </row>
    <row r="41" spans="2:87" ht="10.5" customHeight="1" x14ac:dyDescent="0.25">
      <c r="B41">
        <v>29</v>
      </c>
      <c r="D41" s="441"/>
      <c r="E41" s="100" t="s">
        <v>49</v>
      </c>
      <c r="F41" s="98"/>
      <c r="G41" s="99" t="s">
        <v>128</v>
      </c>
      <c r="H41" s="101" t="s">
        <v>128</v>
      </c>
      <c r="I41" s="31"/>
      <c r="J41" s="98"/>
      <c r="K41" s="99" t="s">
        <v>49</v>
      </c>
      <c r="L41" s="98"/>
      <c r="M41" s="31"/>
      <c r="N41" s="98"/>
      <c r="O41" s="31"/>
      <c r="P41" s="98"/>
      <c r="Q41" s="99" t="s">
        <v>128</v>
      </c>
      <c r="R41" s="101" t="s">
        <v>128</v>
      </c>
      <c r="S41" s="31"/>
      <c r="T41" s="98"/>
      <c r="U41" s="31"/>
      <c r="V41" s="98"/>
      <c r="W41" s="31"/>
      <c r="X41" s="98"/>
      <c r="Y41" s="31"/>
      <c r="Z41" s="98"/>
      <c r="AA41" s="99" t="s">
        <v>129</v>
      </c>
      <c r="AB41" s="98"/>
      <c r="AC41" s="31"/>
      <c r="AD41" s="31"/>
      <c r="AE41" s="31"/>
      <c r="AF41" s="31"/>
      <c r="AG41" s="31"/>
      <c r="AH41" s="31"/>
      <c r="AI41" s="31"/>
      <c r="AJ41" s="31"/>
      <c r="AK41" s="31"/>
      <c r="AL41" s="31"/>
      <c r="AM41" s="31"/>
      <c r="AN41" s="98"/>
      <c r="AO41" s="99" t="s">
        <v>128</v>
      </c>
      <c r="AP41" s="101" t="s">
        <v>128</v>
      </c>
      <c r="AQ41" s="99" t="s">
        <v>128</v>
      </c>
      <c r="AR41" s="101" t="s">
        <v>128</v>
      </c>
      <c r="AS41" s="31"/>
      <c r="AT41" s="98"/>
      <c r="AU41" s="31"/>
      <c r="AV41" s="31"/>
      <c r="AW41" s="31"/>
      <c r="AX41" s="98"/>
      <c r="AY41" s="31"/>
      <c r="AZ41" s="98"/>
      <c r="BA41" s="99" t="s">
        <v>129</v>
      </c>
      <c r="BB41" s="98"/>
      <c r="BC41" s="100" t="s">
        <v>128</v>
      </c>
      <c r="BD41" s="98"/>
      <c r="BE41" s="99" t="s">
        <v>128</v>
      </c>
      <c r="BF41" s="98"/>
      <c r="BG41" s="31"/>
      <c r="BH41" s="98"/>
      <c r="BI41" s="99" t="s">
        <v>128</v>
      </c>
      <c r="BJ41" s="101" t="s">
        <v>128</v>
      </c>
      <c r="BK41" s="31"/>
      <c r="BL41" s="98"/>
      <c r="BM41" s="31"/>
      <c r="BN41" s="98"/>
      <c r="BO41" s="99" t="s">
        <v>128</v>
      </c>
      <c r="BP41" s="101" t="s">
        <v>128</v>
      </c>
      <c r="BQ41" s="99" t="s">
        <v>128</v>
      </c>
      <c r="BR41" s="98"/>
      <c r="BS41" s="31"/>
      <c r="BT41" s="98"/>
      <c r="BU41" s="31"/>
      <c r="BV41" s="98"/>
      <c r="BW41" s="31"/>
      <c r="BX41" s="98"/>
      <c r="BY41" s="31"/>
      <c r="BZ41" s="98"/>
      <c r="CA41" s="31"/>
      <c r="CB41" s="98"/>
      <c r="CC41" s="31"/>
      <c r="CD41" s="98"/>
      <c r="CE41" s="31"/>
      <c r="CF41" s="98"/>
      <c r="CG41" s="31"/>
      <c r="CH41" s="98"/>
    </row>
    <row r="42" spans="2:87" ht="10.5" customHeight="1" x14ac:dyDescent="0.25">
      <c r="B42">
        <v>30</v>
      </c>
      <c r="D42" s="441"/>
      <c r="E42" s="97"/>
      <c r="F42" s="131"/>
      <c r="G42" s="31"/>
      <c r="H42" s="101" t="s">
        <v>128</v>
      </c>
      <c r="I42" s="31"/>
      <c r="J42" s="98"/>
      <c r="K42" s="31"/>
      <c r="L42" s="101" t="s">
        <v>49</v>
      </c>
      <c r="M42" s="31"/>
      <c r="N42" s="98"/>
      <c r="O42" s="31"/>
      <c r="P42" s="98"/>
      <c r="Q42" s="31"/>
      <c r="R42" s="101" t="s">
        <v>128</v>
      </c>
      <c r="S42" s="31"/>
      <c r="T42" s="98"/>
      <c r="U42" s="31"/>
      <c r="V42" s="98"/>
      <c r="W42" s="31"/>
      <c r="X42" s="98"/>
      <c r="Y42" s="31"/>
      <c r="Z42" s="98"/>
      <c r="AA42" s="31"/>
      <c r="AB42" s="98"/>
      <c r="AC42" s="31"/>
      <c r="AD42" s="31"/>
      <c r="AE42" s="31"/>
      <c r="AF42" s="31"/>
      <c r="AG42" s="31"/>
      <c r="AH42" s="31"/>
      <c r="AI42" s="31"/>
      <c r="AJ42" s="31"/>
      <c r="AK42" s="31"/>
      <c r="AL42" s="31"/>
      <c r="AM42" s="31"/>
      <c r="AN42" s="98"/>
      <c r="AO42" s="99" t="s">
        <v>128</v>
      </c>
      <c r="AP42" s="101" t="s">
        <v>128</v>
      </c>
      <c r="AQ42" s="31"/>
      <c r="AR42" s="98"/>
      <c r="AS42" s="31"/>
      <c r="AT42" s="98"/>
      <c r="AU42" s="31"/>
      <c r="AV42" s="31"/>
      <c r="AW42" s="31"/>
      <c r="AX42" s="98"/>
      <c r="AY42" s="31"/>
      <c r="AZ42" s="98"/>
      <c r="BA42" s="31"/>
      <c r="BB42" s="98"/>
      <c r="BC42" s="100" t="s">
        <v>128</v>
      </c>
      <c r="BD42" s="101" t="s">
        <v>128</v>
      </c>
      <c r="BE42" s="99" t="s">
        <v>128</v>
      </c>
      <c r="BF42" s="101" t="s">
        <v>128</v>
      </c>
      <c r="BG42" s="31"/>
      <c r="BH42" s="98"/>
      <c r="BI42" s="99" t="s">
        <v>128</v>
      </c>
      <c r="BJ42" s="98"/>
      <c r="BK42" s="31"/>
      <c r="BL42" s="98"/>
      <c r="BM42" s="31"/>
      <c r="BN42" s="98"/>
      <c r="BO42" s="99" t="s">
        <v>128</v>
      </c>
      <c r="BP42" s="98"/>
      <c r="BQ42" s="99" t="s">
        <v>128</v>
      </c>
      <c r="BR42" s="101" t="s">
        <v>128</v>
      </c>
      <c r="BS42" s="31"/>
      <c r="BT42" s="98"/>
      <c r="BU42" s="31"/>
      <c r="BV42" s="98"/>
      <c r="BW42" s="31"/>
      <c r="BX42" s="98"/>
      <c r="BY42" s="31"/>
      <c r="BZ42" s="98"/>
      <c r="CA42" s="31"/>
      <c r="CB42" s="98"/>
      <c r="CC42" s="31"/>
      <c r="CD42" s="98"/>
      <c r="CE42" s="31"/>
      <c r="CF42" s="98"/>
      <c r="CG42" s="31"/>
      <c r="CH42" s="98"/>
    </row>
    <row r="43" spans="2:87" ht="10.5" customHeight="1" x14ac:dyDescent="0.25">
      <c r="B43">
        <v>31</v>
      </c>
      <c r="D43" s="441"/>
      <c r="E43" s="97"/>
      <c r="F43" s="101" t="s">
        <v>49</v>
      </c>
      <c r="G43" s="31"/>
      <c r="H43" s="98"/>
      <c r="I43" s="31"/>
      <c r="J43" s="98"/>
      <c r="K43" s="31"/>
      <c r="L43" s="98"/>
      <c r="M43" s="31"/>
      <c r="N43" s="98"/>
      <c r="O43" s="31"/>
      <c r="P43" s="98"/>
      <c r="Q43" s="31"/>
      <c r="R43" s="98"/>
      <c r="S43" s="31"/>
      <c r="T43" s="98"/>
      <c r="U43" s="31"/>
      <c r="V43" s="98"/>
      <c r="W43" s="31"/>
      <c r="X43" s="98"/>
      <c r="Y43" s="31"/>
      <c r="Z43" s="98"/>
      <c r="AA43" s="31"/>
      <c r="AB43" s="98"/>
      <c r="AC43" s="31"/>
      <c r="AD43" s="31"/>
      <c r="AE43" s="31"/>
      <c r="AF43" s="31"/>
      <c r="AG43" s="31"/>
      <c r="AH43" s="31"/>
      <c r="AI43" s="31"/>
      <c r="AJ43" s="31"/>
      <c r="AK43" s="31"/>
      <c r="AL43" s="31"/>
      <c r="AM43" s="31"/>
      <c r="AN43" s="98"/>
      <c r="AO43" s="31"/>
      <c r="AP43" s="98"/>
      <c r="AQ43" s="31"/>
      <c r="AR43" s="98"/>
      <c r="AS43" s="31"/>
      <c r="AT43" s="98"/>
      <c r="AU43" s="31"/>
      <c r="AV43" s="31"/>
      <c r="AW43" s="31"/>
      <c r="AX43" s="98"/>
      <c r="AY43" s="31"/>
      <c r="AZ43" s="98"/>
      <c r="BA43" s="31"/>
      <c r="BB43" s="98"/>
      <c r="BC43" s="97"/>
      <c r="BD43" s="101" t="s">
        <v>128</v>
      </c>
      <c r="BE43" s="31"/>
      <c r="BF43" s="98"/>
      <c r="BG43" s="31"/>
      <c r="BH43" s="98"/>
      <c r="BI43" s="31"/>
      <c r="BJ43" s="98"/>
      <c r="BK43" s="31"/>
      <c r="BL43" s="98"/>
      <c r="BM43" s="31"/>
      <c r="BN43" s="98"/>
      <c r="BO43" s="31"/>
      <c r="BP43" s="98"/>
      <c r="BQ43" s="99" t="s">
        <v>128</v>
      </c>
      <c r="BR43" s="98"/>
      <c r="BS43" s="31"/>
      <c r="BT43" s="98"/>
      <c r="BU43" s="31"/>
      <c r="BV43" s="98"/>
      <c r="BW43" s="31"/>
      <c r="BX43" s="98"/>
      <c r="BY43" s="31"/>
      <c r="BZ43" s="98"/>
      <c r="CA43" s="31"/>
      <c r="CB43" s="98"/>
      <c r="CC43" s="31"/>
      <c r="CD43" s="98"/>
      <c r="CE43" s="31"/>
      <c r="CF43" s="98"/>
      <c r="CG43" s="31"/>
      <c r="CH43" s="98"/>
    </row>
    <row r="44" spans="2:87" ht="10.5" customHeight="1" thickBot="1" x14ac:dyDescent="0.3">
      <c r="B44">
        <v>32</v>
      </c>
      <c r="D44" s="448"/>
      <c r="E44" s="120"/>
      <c r="F44" s="121"/>
      <c r="G44" s="122"/>
      <c r="H44" s="121"/>
      <c r="I44" s="122"/>
      <c r="J44" s="121"/>
      <c r="K44" s="122"/>
      <c r="L44" s="121"/>
      <c r="M44" s="122"/>
      <c r="N44" s="121"/>
      <c r="O44" s="122"/>
      <c r="P44" s="121"/>
      <c r="Q44" s="122"/>
      <c r="R44" s="121"/>
      <c r="S44" s="122"/>
      <c r="T44" s="121"/>
      <c r="U44" s="122"/>
      <c r="V44" s="121"/>
      <c r="W44" s="122"/>
      <c r="X44" s="121"/>
      <c r="Y44" s="122"/>
      <c r="Z44" s="121"/>
      <c r="AA44" s="122"/>
      <c r="AB44" s="121"/>
      <c r="AC44" s="122"/>
      <c r="AD44" s="122"/>
      <c r="AE44" s="122"/>
      <c r="AF44" s="122"/>
      <c r="AG44" s="122"/>
      <c r="AH44" s="122"/>
      <c r="AI44" s="122"/>
      <c r="AJ44" s="122"/>
      <c r="AK44" s="122"/>
      <c r="AL44" s="122"/>
      <c r="AM44" s="122"/>
      <c r="AN44" s="121"/>
      <c r="AO44" s="122"/>
      <c r="AP44" s="121"/>
      <c r="AQ44" s="122"/>
      <c r="AR44" s="121"/>
      <c r="AS44" s="122"/>
      <c r="AT44" s="121"/>
      <c r="AU44" s="122"/>
      <c r="AV44" s="122"/>
      <c r="AW44" s="122"/>
      <c r="AX44" s="121"/>
      <c r="AY44" s="122"/>
      <c r="AZ44" s="121"/>
      <c r="BA44" s="122"/>
      <c r="BB44" s="121"/>
      <c r="BC44" s="120"/>
      <c r="BD44" s="121"/>
      <c r="BE44" s="122"/>
      <c r="BF44" s="121"/>
      <c r="BG44" s="122"/>
      <c r="BH44" s="121"/>
      <c r="BI44" s="122"/>
      <c r="BJ44" s="121"/>
      <c r="BK44" s="122"/>
      <c r="BL44" s="121"/>
      <c r="BM44" s="122"/>
      <c r="BN44" s="121"/>
      <c r="BO44" s="122"/>
      <c r="BP44" s="121"/>
      <c r="BQ44" s="122"/>
      <c r="BR44" s="121"/>
      <c r="BS44" s="122"/>
      <c r="BT44" s="121"/>
      <c r="BU44" s="122"/>
      <c r="BV44" s="121"/>
      <c r="BW44" s="122"/>
      <c r="BX44" s="121"/>
      <c r="BY44" s="122"/>
      <c r="BZ44" s="121"/>
      <c r="CA44" s="122"/>
      <c r="CB44" s="121"/>
      <c r="CC44" s="122"/>
      <c r="CD44" s="121"/>
      <c r="CE44" s="122"/>
      <c r="CF44" s="121"/>
      <c r="CG44" s="122"/>
      <c r="CH44" s="121"/>
      <c r="CI44" s="95"/>
    </row>
    <row r="45" spans="2:87" ht="10.5" customHeight="1" thickTop="1" x14ac:dyDescent="0.25">
      <c r="B45">
        <v>33</v>
      </c>
      <c r="C45">
        <f>IF(B5&lt;B4,5,0)</f>
        <v>0</v>
      </c>
      <c r="D45" s="447" t="s">
        <v>110</v>
      </c>
      <c r="E45" s="126"/>
      <c r="F45" s="123"/>
      <c r="G45" s="127"/>
      <c r="H45" s="123"/>
      <c r="I45" s="127"/>
      <c r="J45" s="123"/>
      <c r="K45" s="127"/>
      <c r="L45" s="123"/>
      <c r="M45" s="127"/>
      <c r="N45" s="123"/>
      <c r="O45" s="127"/>
      <c r="P45" s="123"/>
      <c r="Q45" s="127"/>
      <c r="R45" s="123"/>
      <c r="S45" s="127"/>
      <c r="T45" s="123"/>
      <c r="U45" s="127"/>
      <c r="V45" s="123"/>
      <c r="W45" s="127"/>
      <c r="X45" s="123"/>
      <c r="Y45" s="127"/>
      <c r="Z45" s="123"/>
      <c r="AA45" s="127"/>
      <c r="AB45" s="123"/>
      <c r="AC45" s="127"/>
      <c r="AD45" s="127"/>
      <c r="AE45" s="127"/>
      <c r="AF45" s="127"/>
      <c r="AG45" s="127"/>
      <c r="AH45" s="127"/>
      <c r="AI45" s="127"/>
      <c r="AJ45" s="127"/>
      <c r="AK45" s="127"/>
      <c r="AL45" s="127"/>
      <c r="AM45" s="127"/>
      <c r="AN45" s="123"/>
      <c r="AO45" s="127"/>
      <c r="AP45" s="123"/>
      <c r="AQ45" s="127"/>
      <c r="AR45" s="123"/>
      <c r="AS45" s="127"/>
      <c r="AT45" s="123"/>
      <c r="AU45" s="127"/>
      <c r="AV45" s="127"/>
      <c r="AW45" s="127"/>
      <c r="AX45" s="123"/>
      <c r="AY45" s="127"/>
      <c r="AZ45" s="123"/>
      <c r="BA45" s="127"/>
      <c r="BB45" s="123"/>
      <c r="BC45" s="97"/>
      <c r="BD45" s="98"/>
      <c r="BE45" s="31"/>
      <c r="BF45" s="98"/>
      <c r="BG45" s="31"/>
      <c r="BH45" s="98"/>
      <c r="BI45" s="31"/>
      <c r="BJ45" s="98"/>
      <c r="BK45" s="31"/>
      <c r="BL45" s="98"/>
      <c r="BM45" s="31"/>
      <c r="BN45" s="98"/>
      <c r="BO45" s="31"/>
      <c r="BP45" s="98"/>
      <c r="BQ45" s="31"/>
      <c r="BR45" s="98"/>
      <c r="BS45" s="31"/>
      <c r="BT45" s="98"/>
      <c r="BU45" s="31"/>
      <c r="BV45" s="98"/>
      <c r="BW45" s="31"/>
      <c r="BX45" s="98"/>
      <c r="BY45" s="31"/>
      <c r="BZ45" s="98"/>
      <c r="CA45" s="31"/>
      <c r="CB45" s="98"/>
      <c r="CC45" s="31"/>
      <c r="CD45" s="98"/>
      <c r="CE45" s="31"/>
      <c r="CF45" s="98"/>
      <c r="CG45" s="31"/>
      <c r="CH45" s="98"/>
    </row>
    <row r="46" spans="2:87" ht="10.5" customHeight="1" x14ac:dyDescent="0.25">
      <c r="B46">
        <v>34</v>
      </c>
      <c r="D46" s="441"/>
      <c r="E46" s="97"/>
      <c r="F46" s="98"/>
      <c r="G46" s="31"/>
      <c r="H46" s="98"/>
      <c r="I46" s="31"/>
      <c r="J46" s="98"/>
      <c r="K46" s="31"/>
      <c r="L46" s="98"/>
      <c r="M46" s="31"/>
      <c r="N46" s="98"/>
      <c r="O46" s="31"/>
      <c r="P46" s="98"/>
      <c r="Q46" s="31"/>
      <c r="R46" s="98"/>
      <c r="S46" s="31"/>
      <c r="T46" s="98"/>
      <c r="U46" s="31"/>
      <c r="V46" s="98"/>
      <c r="W46" s="31"/>
      <c r="X46" s="98"/>
      <c r="Y46" s="31"/>
      <c r="Z46" s="98"/>
      <c r="AA46" s="31"/>
      <c r="AB46" s="98"/>
      <c r="AC46" s="31"/>
      <c r="AD46" s="31"/>
      <c r="AE46" s="31"/>
      <c r="AF46" s="31"/>
      <c r="AG46" s="31"/>
      <c r="AH46" s="31"/>
      <c r="AI46" s="31"/>
      <c r="AJ46" s="31"/>
      <c r="AK46" s="31"/>
      <c r="AL46" s="31"/>
      <c r="AM46" s="31"/>
      <c r="AN46" s="98"/>
      <c r="AO46" s="31"/>
      <c r="AP46" s="98"/>
      <c r="AQ46" s="31"/>
      <c r="AR46" s="98"/>
      <c r="AS46" s="31"/>
      <c r="AT46" s="98"/>
      <c r="AU46" s="31"/>
      <c r="AV46" s="31"/>
      <c r="AW46" s="31"/>
      <c r="AX46" s="98"/>
      <c r="AY46" s="31"/>
      <c r="AZ46" s="98"/>
      <c r="BA46" s="31"/>
      <c r="BB46" s="98"/>
      <c r="BC46" s="97"/>
      <c r="BD46" s="98"/>
      <c r="BE46" s="31"/>
      <c r="BF46" s="98"/>
      <c r="BG46" s="31"/>
      <c r="BH46" s="98"/>
      <c r="BI46" s="31"/>
      <c r="BJ46" s="98"/>
      <c r="BK46" s="31"/>
      <c r="BL46" s="98"/>
      <c r="BM46" s="31"/>
      <c r="BN46" s="98"/>
      <c r="BO46" s="31"/>
      <c r="BP46" s="98"/>
      <c r="BQ46" s="31"/>
      <c r="BR46" s="98"/>
      <c r="BS46" s="31"/>
      <c r="BT46" s="98"/>
      <c r="BU46" s="31"/>
      <c r="BV46" s="98"/>
      <c r="BW46" s="31"/>
      <c r="BX46" s="98"/>
      <c r="BY46" s="31"/>
      <c r="BZ46" s="98"/>
      <c r="CA46" s="31"/>
      <c r="CB46" s="98"/>
      <c r="CC46" s="31"/>
      <c r="CD46" s="98"/>
      <c r="CE46" s="31"/>
      <c r="CF46" s="98"/>
      <c r="CG46" s="31"/>
      <c r="CH46" s="98"/>
    </row>
    <row r="47" spans="2:87" ht="10.5" customHeight="1" x14ac:dyDescent="0.25">
      <c r="B47">
        <v>35</v>
      </c>
      <c r="D47" s="441"/>
      <c r="E47" s="97"/>
      <c r="F47" s="98"/>
      <c r="G47" s="31"/>
      <c r="H47" s="98"/>
      <c r="I47" s="31"/>
      <c r="J47" s="98"/>
      <c r="K47" s="31"/>
      <c r="L47" s="98"/>
      <c r="M47" s="31"/>
      <c r="N47" s="98"/>
      <c r="O47" s="31"/>
      <c r="P47" s="98"/>
      <c r="Q47" s="31"/>
      <c r="R47" s="98"/>
      <c r="S47" s="31"/>
      <c r="T47" s="98"/>
      <c r="U47" s="31"/>
      <c r="V47" s="98"/>
      <c r="W47" s="31"/>
      <c r="X47" s="98"/>
      <c r="Y47" s="31"/>
      <c r="Z47" s="98"/>
      <c r="AA47" s="31"/>
      <c r="AB47" s="98"/>
      <c r="AC47" s="31"/>
      <c r="AD47" s="31"/>
      <c r="AE47" s="31"/>
      <c r="AF47" s="31"/>
      <c r="AG47" s="31"/>
      <c r="AH47" s="31"/>
      <c r="AI47" s="31"/>
      <c r="AJ47" s="31"/>
      <c r="AK47" s="31"/>
      <c r="AL47" s="31"/>
      <c r="AM47" s="31"/>
      <c r="AN47" s="98"/>
      <c r="AO47" s="31"/>
      <c r="AP47" s="98"/>
      <c r="AQ47" s="31"/>
      <c r="AR47" s="98"/>
      <c r="AS47" s="31"/>
      <c r="AT47" s="98"/>
      <c r="AU47" s="31"/>
      <c r="AV47" s="31"/>
      <c r="AW47" s="31"/>
      <c r="AX47" s="98"/>
      <c r="AY47" s="31"/>
      <c r="AZ47" s="98"/>
      <c r="BA47" s="31"/>
      <c r="BB47" s="101" t="s">
        <v>129</v>
      </c>
      <c r="BC47" s="97"/>
      <c r="BD47" s="98"/>
      <c r="BE47" s="31"/>
      <c r="BF47" s="98"/>
      <c r="BG47" s="31"/>
      <c r="BH47" s="98"/>
      <c r="BI47" s="31"/>
      <c r="BJ47" s="98"/>
      <c r="BK47" s="31"/>
      <c r="BL47" s="98"/>
      <c r="BM47" s="31"/>
      <c r="BN47" s="98"/>
      <c r="BO47" s="31"/>
      <c r="BP47" s="101" t="s">
        <v>128</v>
      </c>
      <c r="BQ47" s="31"/>
      <c r="BR47" s="98"/>
      <c r="BS47" s="31"/>
      <c r="BT47" s="98"/>
      <c r="BU47" s="31"/>
      <c r="BV47" s="98"/>
      <c r="BW47" s="31"/>
      <c r="BX47" s="98"/>
      <c r="BY47" s="31"/>
      <c r="BZ47" s="98"/>
      <c r="CA47" s="31"/>
      <c r="CB47" s="98"/>
      <c r="CC47" s="31"/>
      <c r="CD47" s="98"/>
      <c r="CE47" s="31"/>
      <c r="CF47" s="98"/>
      <c r="CG47" s="31"/>
      <c r="CH47" s="98"/>
    </row>
    <row r="48" spans="2:87" ht="10.5" customHeight="1" thickBot="1" x14ac:dyDescent="0.3">
      <c r="B48">
        <v>36</v>
      </c>
      <c r="D48" s="441"/>
      <c r="E48" s="110"/>
      <c r="F48" s="111"/>
      <c r="G48" s="116"/>
      <c r="H48" s="111"/>
      <c r="I48" s="116"/>
      <c r="J48" s="111"/>
      <c r="K48" s="116"/>
      <c r="L48" s="111"/>
      <c r="M48" s="116"/>
      <c r="N48" s="111"/>
      <c r="O48" s="116"/>
      <c r="P48" s="111"/>
      <c r="Q48" s="116"/>
      <c r="R48" s="115" t="s">
        <v>128</v>
      </c>
      <c r="S48" s="116"/>
      <c r="T48" s="111"/>
      <c r="U48" s="116"/>
      <c r="V48" s="111"/>
      <c r="W48" s="116"/>
      <c r="X48" s="111"/>
      <c r="Y48" s="116"/>
      <c r="Z48" s="111"/>
      <c r="AA48" s="116"/>
      <c r="AB48" s="115" t="s">
        <v>129</v>
      </c>
      <c r="AC48" s="116"/>
      <c r="AD48" s="116"/>
      <c r="AE48" s="116"/>
      <c r="AF48" s="116"/>
      <c r="AG48" s="116"/>
      <c r="AH48" s="116"/>
      <c r="AI48" s="116"/>
      <c r="AJ48" s="116"/>
      <c r="AK48" s="116"/>
      <c r="AL48" s="116"/>
      <c r="AM48" s="116"/>
      <c r="AN48" s="111"/>
      <c r="AO48" s="116"/>
      <c r="AP48" s="111"/>
      <c r="AQ48" s="116"/>
      <c r="AR48" s="115" t="s">
        <v>128</v>
      </c>
      <c r="AS48" s="116"/>
      <c r="AT48" s="111"/>
      <c r="AU48" s="116"/>
      <c r="AV48" s="116"/>
      <c r="AW48" s="116"/>
      <c r="AX48" s="111"/>
      <c r="AY48" s="116"/>
      <c r="AZ48" s="115" t="s">
        <v>129</v>
      </c>
      <c r="BA48" s="116"/>
      <c r="BB48" s="111"/>
      <c r="BC48" s="110"/>
      <c r="BD48" s="111"/>
      <c r="BE48" s="116"/>
      <c r="BF48" s="111"/>
      <c r="BG48" s="116"/>
      <c r="BH48" s="111"/>
      <c r="BI48" s="116"/>
      <c r="BJ48" s="111"/>
      <c r="BK48" s="116"/>
      <c r="BL48" s="111"/>
      <c r="BM48" s="116"/>
      <c r="BN48" s="111"/>
      <c r="BO48" s="116"/>
      <c r="BP48" s="115" t="s">
        <v>128</v>
      </c>
      <c r="BQ48" s="116"/>
      <c r="BR48" s="111"/>
      <c r="BS48" s="116"/>
      <c r="BT48" s="111"/>
      <c r="BU48" s="116"/>
      <c r="BV48" s="111"/>
      <c r="BW48" s="116"/>
      <c r="BX48" s="111"/>
      <c r="BY48" s="116"/>
      <c r="BZ48" s="111"/>
      <c r="CA48" s="116"/>
      <c r="CB48" s="111"/>
      <c r="CC48" s="116"/>
      <c r="CD48" s="111"/>
      <c r="CE48" s="116"/>
      <c r="CF48" s="111"/>
      <c r="CG48" s="116"/>
      <c r="CH48" s="115" t="s">
        <v>129</v>
      </c>
    </row>
    <row r="49" spans="2:87" ht="10.5" customHeight="1" x14ac:dyDescent="0.25">
      <c r="B49">
        <v>37</v>
      </c>
      <c r="D49" s="441"/>
      <c r="E49" s="97"/>
      <c r="F49" s="98"/>
      <c r="G49" s="31"/>
      <c r="H49" s="101" t="s">
        <v>128</v>
      </c>
      <c r="I49" s="31"/>
      <c r="J49" s="98"/>
      <c r="K49" s="31"/>
      <c r="L49" s="98"/>
      <c r="M49" s="31"/>
      <c r="N49" s="98"/>
      <c r="O49" s="31"/>
      <c r="P49" s="98"/>
      <c r="Q49" s="31"/>
      <c r="R49" s="101" t="s">
        <v>128</v>
      </c>
      <c r="S49" s="31"/>
      <c r="T49" s="98"/>
      <c r="U49" s="31"/>
      <c r="V49" s="98"/>
      <c r="W49" s="31"/>
      <c r="X49" s="98"/>
      <c r="Y49" s="31"/>
      <c r="Z49" s="98"/>
      <c r="AA49" s="31"/>
      <c r="AB49" s="98"/>
      <c r="AC49" s="31"/>
      <c r="AD49" s="31"/>
      <c r="AE49" s="31"/>
      <c r="AF49" s="31"/>
      <c r="AG49" s="31"/>
      <c r="AH49" s="31"/>
      <c r="AI49" s="31"/>
      <c r="AJ49" s="31"/>
      <c r="AK49" s="31"/>
      <c r="AL49" s="31"/>
      <c r="AM49" s="31"/>
      <c r="AN49" s="98"/>
      <c r="AO49" s="31"/>
      <c r="AP49" s="98"/>
      <c r="AQ49" s="31"/>
      <c r="AR49" s="101" t="s">
        <v>128</v>
      </c>
      <c r="AS49" s="31"/>
      <c r="AT49" s="98"/>
      <c r="AU49" s="31"/>
      <c r="AV49" s="31"/>
      <c r="AW49" s="31"/>
      <c r="AX49" s="98"/>
      <c r="AY49" s="31"/>
      <c r="AZ49" s="101" t="s">
        <v>129</v>
      </c>
      <c r="BA49" s="31"/>
      <c r="BB49" s="98"/>
      <c r="BC49" s="97"/>
      <c r="BD49" s="98"/>
      <c r="BE49" s="31"/>
      <c r="BF49" s="98"/>
      <c r="BG49" s="31"/>
      <c r="BH49" s="101" t="s">
        <v>128</v>
      </c>
      <c r="BI49" s="31"/>
      <c r="BJ49" s="101" t="s">
        <v>128</v>
      </c>
      <c r="BK49" s="31"/>
      <c r="BL49" s="98"/>
      <c r="BM49" s="31"/>
      <c r="BN49" s="98"/>
      <c r="BO49" s="31"/>
      <c r="BP49" s="101" t="s">
        <v>128</v>
      </c>
      <c r="BQ49" s="31"/>
      <c r="BR49" s="98"/>
      <c r="BS49" s="31"/>
      <c r="BT49" s="98"/>
      <c r="BU49" s="31"/>
      <c r="BV49" s="98"/>
      <c r="BW49" s="31"/>
      <c r="BX49" s="98"/>
      <c r="BY49" s="31"/>
      <c r="BZ49" s="98"/>
      <c r="CA49" s="31"/>
      <c r="CB49" s="101" t="s">
        <v>129</v>
      </c>
      <c r="CC49" s="31"/>
      <c r="CD49" s="98"/>
      <c r="CE49" s="31"/>
      <c r="CF49" s="101" t="s">
        <v>129</v>
      </c>
      <c r="CG49" s="31"/>
      <c r="CH49" s="101" t="s">
        <v>129</v>
      </c>
    </row>
    <row r="50" spans="2:87" ht="10.5" customHeight="1" x14ac:dyDescent="0.25">
      <c r="B50">
        <v>38</v>
      </c>
      <c r="D50" s="441"/>
      <c r="E50" s="100" t="s">
        <v>49</v>
      </c>
      <c r="F50" s="131"/>
      <c r="G50" s="99" t="s">
        <v>128</v>
      </c>
      <c r="H50" s="101" t="s">
        <v>128</v>
      </c>
      <c r="I50" s="31"/>
      <c r="J50" s="98"/>
      <c r="K50" s="99" t="s">
        <v>49</v>
      </c>
      <c r="L50" s="98"/>
      <c r="M50" s="31"/>
      <c r="N50" s="98"/>
      <c r="O50" s="99" t="s">
        <v>128</v>
      </c>
      <c r="P50" s="101" t="s">
        <v>128</v>
      </c>
      <c r="Q50" s="99" t="s">
        <v>128</v>
      </c>
      <c r="R50" s="101" t="s">
        <v>128</v>
      </c>
      <c r="S50" s="31"/>
      <c r="T50" s="98"/>
      <c r="U50" s="31"/>
      <c r="V50" s="98"/>
      <c r="W50" s="31"/>
      <c r="X50" s="98"/>
      <c r="Y50" s="31"/>
      <c r="Z50" s="98"/>
      <c r="AA50" s="99" t="s">
        <v>129</v>
      </c>
      <c r="AB50" s="98"/>
      <c r="AC50" s="31"/>
      <c r="AD50" s="31"/>
      <c r="AE50" s="31"/>
      <c r="AF50" s="31"/>
      <c r="AG50" s="31"/>
      <c r="AH50" s="31"/>
      <c r="AI50" s="31"/>
      <c r="AJ50" s="31"/>
      <c r="AK50" s="31"/>
      <c r="AL50" s="31"/>
      <c r="AM50" s="31"/>
      <c r="AN50" s="98"/>
      <c r="AO50" s="99" t="s">
        <v>128</v>
      </c>
      <c r="AP50" s="101" t="s">
        <v>128</v>
      </c>
      <c r="AQ50" s="31"/>
      <c r="AR50" s="101" t="s">
        <v>128</v>
      </c>
      <c r="AS50" s="31"/>
      <c r="AT50" s="98"/>
      <c r="AU50" s="31"/>
      <c r="AV50" s="31"/>
      <c r="AW50" s="31"/>
      <c r="AX50" s="98"/>
      <c r="AY50" s="99" t="s">
        <v>129</v>
      </c>
      <c r="AZ50" s="98"/>
      <c r="BA50" s="99" t="s">
        <v>129</v>
      </c>
      <c r="BB50" s="98"/>
      <c r="BC50" s="100" t="s">
        <v>128</v>
      </c>
      <c r="BD50" s="98"/>
      <c r="BE50" s="99" t="s">
        <v>128</v>
      </c>
      <c r="BF50" s="98"/>
      <c r="BG50" s="99" t="s">
        <v>128</v>
      </c>
      <c r="BH50" s="101" t="s">
        <v>128</v>
      </c>
      <c r="BI50" s="99" t="s">
        <v>128</v>
      </c>
      <c r="BJ50" s="101" t="s">
        <v>128</v>
      </c>
      <c r="BK50" s="31"/>
      <c r="BL50" s="98"/>
      <c r="BM50" s="99" t="s">
        <v>128</v>
      </c>
      <c r="BN50" s="101" t="s">
        <v>128</v>
      </c>
      <c r="BO50" s="99" t="s">
        <v>128</v>
      </c>
      <c r="BP50" s="101" t="s">
        <v>128</v>
      </c>
      <c r="BQ50" s="99" t="s">
        <v>128</v>
      </c>
      <c r="BR50" s="98"/>
      <c r="BS50" s="31"/>
      <c r="BT50" s="101" t="s">
        <v>128</v>
      </c>
      <c r="BU50" s="31"/>
      <c r="BV50" s="101" t="s">
        <v>128</v>
      </c>
      <c r="BW50" s="31"/>
      <c r="BX50" s="101" t="s">
        <v>128</v>
      </c>
      <c r="BY50" s="31"/>
      <c r="BZ50" s="101" t="s">
        <v>129</v>
      </c>
      <c r="CA50" s="99" t="s">
        <v>129</v>
      </c>
      <c r="CB50" s="98"/>
      <c r="CC50" s="31"/>
      <c r="CD50" s="101" t="s">
        <v>129</v>
      </c>
      <c r="CE50" s="31"/>
      <c r="CF50" s="98"/>
      <c r="CG50" s="31"/>
      <c r="CH50" s="98"/>
    </row>
    <row r="51" spans="2:87" ht="10.5" customHeight="1" x14ac:dyDescent="0.25">
      <c r="B51">
        <v>39</v>
      </c>
      <c r="D51" s="441"/>
      <c r="E51" s="97"/>
      <c r="F51" s="98"/>
      <c r="G51" s="99" t="s">
        <v>128</v>
      </c>
      <c r="H51" s="101" t="s">
        <v>128</v>
      </c>
      <c r="I51" s="31"/>
      <c r="J51" s="98"/>
      <c r="K51" s="31"/>
      <c r="L51" s="101" t="s">
        <v>49</v>
      </c>
      <c r="M51" s="31"/>
      <c r="N51" s="98"/>
      <c r="O51" s="31"/>
      <c r="P51" s="101" t="s">
        <v>128</v>
      </c>
      <c r="Q51" s="99" t="s">
        <v>128</v>
      </c>
      <c r="R51" s="101" t="s">
        <v>128</v>
      </c>
      <c r="S51" s="31"/>
      <c r="T51" s="98"/>
      <c r="U51" s="31"/>
      <c r="V51" s="98"/>
      <c r="W51" s="31"/>
      <c r="X51" s="98"/>
      <c r="Y51" s="31"/>
      <c r="Z51" s="98"/>
      <c r="AA51" s="31"/>
      <c r="AB51" s="98"/>
      <c r="AC51" s="31"/>
      <c r="AD51" s="31"/>
      <c r="AE51" s="31"/>
      <c r="AF51" s="31"/>
      <c r="AG51" s="31"/>
      <c r="AH51" s="31"/>
      <c r="AI51" s="31"/>
      <c r="AJ51" s="31"/>
      <c r="AK51" s="31"/>
      <c r="AL51" s="31"/>
      <c r="AM51" s="31"/>
      <c r="AN51" s="98"/>
      <c r="AO51" s="31"/>
      <c r="AP51" s="98"/>
      <c r="AQ51" s="99" t="s">
        <v>128</v>
      </c>
      <c r="AR51" s="101" t="s">
        <v>128</v>
      </c>
      <c r="AS51" s="31"/>
      <c r="AT51" s="98"/>
      <c r="AU51" s="31"/>
      <c r="AV51" s="31"/>
      <c r="AW51" s="31"/>
      <c r="AX51" s="98"/>
      <c r="AY51" s="99" t="s">
        <v>129</v>
      </c>
      <c r="AZ51" s="98"/>
      <c r="BA51" s="31"/>
      <c r="BB51" s="98"/>
      <c r="BC51" s="100" t="s">
        <v>128</v>
      </c>
      <c r="BD51" s="101" t="s">
        <v>128</v>
      </c>
      <c r="BE51" s="99" t="s">
        <v>128</v>
      </c>
      <c r="BF51" s="101" t="s">
        <v>128</v>
      </c>
      <c r="BG51" s="31"/>
      <c r="BH51" s="98"/>
      <c r="BI51" s="99" t="s">
        <v>128</v>
      </c>
      <c r="BJ51" s="98"/>
      <c r="BK51" s="31"/>
      <c r="BL51" s="98"/>
      <c r="BM51" s="99" t="s">
        <v>128</v>
      </c>
      <c r="BN51" s="98"/>
      <c r="BO51" s="99" t="s">
        <v>128</v>
      </c>
      <c r="BP51" s="98"/>
      <c r="BQ51" s="99" t="s">
        <v>128</v>
      </c>
      <c r="BR51" s="101" t="s">
        <v>128</v>
      </c>
      <c r="BS51" s="99" t="s">
        <v>128</v>
      </c>
      <c r="BT51" s="101" t="s">
        <v>128</v>
      </c>
      <c r="BU51" s="99" t="s">
        <v>128</v>
      </c>
      <c r="BV51" s="101" t="s">
        <v>128</v>
      </c>
      <c r="BW51" s="99" t="s">
        <v>128</v>
      </c>
      <c r="BX51" s="101" t="s">
        <v>128</v>
      </c>
      <c r="BY51" s="99" t="s">
        <v>129</v>
      </c>
      <c r="BZ51" s="98"/>
      <c r="CA51" s="31"/>
      <c r="CB51" s="98"/>
      <c r="CC51" s="31"/>
      <c r="CD51" s="98"/>
      <c r="CE51" s="99" t="s">
        <v>129</v>
      </c>
      <c r="CF51" s="98"/>
      <c r="CG51" s="99" t="s">
        <v>129</v>
      </c>
      <c r="CH51" s="98"/>
    </row>
    <row r="52" spans="2:87" ht="10.5" customHeight="1" thickBot="1" x14ac:dyDescent="0.3">
      <c r="B52">
        <v>40</v>
      </c>
      <c r="D52" s="448"/>
      <c r="E52" s="120"/>
      <c r="F52" s="132" t="s">
        <v>49</v>
      </c>
      <c r="G52" s="122"/>
      <c r="H52" s="132" t="s">
        <v>128</v>
      </c>
      <c r="I52" s="122"/>
      <c r="J52" s="121"/>
      <c r="K52" s="122"/>
      <c r="L52" s="121"/>
      <c r="M52" s="122"/>
      <c r="N52" s="121"/>
      <c r="O52" s="122"/>
      <c r="P52" s="121"/>
      <c r="Q52" s="122"/>
      <c r="R52" s="132" t="s">
        <v>128</v>
      </c>
      <c r="S52" s="122"/>
      <c r="T52" s="121"/>
      <c r="U52" s="122"/>
      <c r="V52" s="121"/>
      <c r="W52" s="122"/>
      <c r="X52" s="121"/>
      <c r="Y52" s="122"/>
      <c r="Z52" s="121"/>
      <c r="AA52" s="122"/>
      <c r="AB52" s="121"/>
      <c r="AC52" s="122"/>
      <c r="AD52" s="122"/>
      <c r="AE52" s="122"/>
      <c r="AF52" s="122"/>
      <c r="AG52" s="122"/>
      <c r="AH52" s="122"/>
      <c r="AI52" s="122"/>
      <c r="AJ52" s="122"/>
      <c r="AK52" s="122"/>
      <c r="AL52" s="122"/>
      <c r="AM52" s="122"/>
      <c r="AN52" s="121"/>
      <c r="AO52" s="122"/>
      <c r="AP52" s="121"/>
      <c r="AQ52" s="122"/>
      <c r="AR52" s="121"/>
      <c r="AS52" s="122"/>
      <c r="AT52" s="121"/>
      <c r="AU52" s="122"/>
      <c r="AV52" s="122"/>
      <c r="AW52" s="122"/>
      <c r="AX52" s="121"/>
      <c r="AY52" s="122"/>
      <c r="AZ52" s="121"/>
      <c r="BA52" s="122"/>
      <c r="BB52" s="121"/>
      <c r="BC52" s="120"/>
      <c r="BD52" s="132" t="s">
        <v>128</v>
      </c>
      <c r="BE52" s="122"/>
      <c r="BF52" s="121"/>
      <c r="BG52" s="122"/>
      <c r="BH52" s="121"/>
      <c r="BI52" s="122"/>
      <c r="BJ52" s="121"/>
      <c r="BK52" s="122"/>
      <c r="BL52" s="121"/>
      <c r="BM52" s="122"/>
      <c r="BN52" s="121"/>
      <c r="BO52" s="122"/>
      <c r="BP52" s="121"/>
      <c r="BQ52" s="133" t="s">
        <v>128</v>
      </c>
      <c r="BR52" s="121"/>
      <c r="BS52" s="122"/>
      <c r="BT52" s="132" t="s">
        <v>128</v>
      </c>
      <c r="BU52" s="122"/>
      <c r="BV52" s="121"/>
      <c r="BW52" s="133" t="s">
        <v>128</v>
      </c>
      <c r="BX52" s="121"/>
      <c r="BY52" s="122"/>
      <c r="BZ52" s="121"/>
      <c r="CA52" s="122"/>
      <c r="CB52" s="121"/>
      <c r="CC52" s="133" t="s">
        <v>129</v>
      </c>
      <c r="CD52" s="121"/>
      <c r="CE52" s="122"/>
      <c r="CF52" s="121"/>
      <c r="CG52" s="133" t="s">
        <v>129</v>
      </c>
      <c r="CH52" s="121"/>
      <c r="CI52" s="95"/>
    </row>
    <row r="53" spans="2:87" ht="13.8" thickTop="1" x14ac:dyDescent="0.25">
      <c r="C53">
        <f>SUM(C13:C52)</f>
        <v>4</v>
      </c>
    </row>
    <row r="55" spans="2:87" x14ac:dyDescent="0.25">
      <c r="E55" t="s">
        <v>59</v>
      </c>
      <c r="F55">
        <f>C53</f>
        <v>4</v>
      </c>
      <c r="H55">
        <f>F55*8-7</f>
        <v>25</v>
      </c>
    </row>
    <row r="56" spans="2:87" x14ac:dyDescent="0.25">
      <c r="E56" t="s">
        <v>44</v>
      </c>
      <c r="F56">
        <f>CI1</f>
        <v>1</v>
      </c>
      <c r="H56">
        <f>F56*2-1</f>
        <v>1</v>
      </c>
    </row>
    <row r="57" spans="2:87" ht="13.8" thickBot="1" x14ac:dyDescent="0.3"/>
    <row r="58" spans="2:87" x14ac:dyDescent="0.25">
      <c r="E58" s="134" t="str">
        <f>IF((INDEX(griglia,H55,H56))="","",INDEX(griglia,H55,H56))</f>
        <v/>
      </c>
      <c r="F58" s="135" t="str">
        <f>IF((INDEX(griglia,H55,H56+1))="","",INDEX(griglia,H55,H56+1))</f>
        <v/>
      </c>
      <c r="H58" t="str">
        <f>CONCATENATE(E58,F58)</f>
        <v/>
      </c>
    </row>
    <row r="59" spans="2:87" x14ac:dyDescent="0.25">
      <c r="E59" s="136" t="str">
        <f>IF((INDEX(griglia,H55+1,H56))="","",INDEX(griglia,H55+1,H56))</f>
        <v/>
      </c>
      <c r="F59" s="137" t="str">
        <f>IF((INDEX(griglia,H55+1,H56+1))="","",INDEX(griglia,H55+1,H56+1))</f>
        <v/>
      </c>
      <c r="H59" t="str">
        <f>CONCATENATE(E59,F59)</f>
        <v/>
      </c>
    </row>
    <row r="60" spans="2:87" x14ac:dyDescent="0.25">
      <c r="E60" s="136" t="str">
        <f>IF((INDEX(griglia,H55+2,H56))="","",INDEX(griglia,H55+2,H56))</f>
        <v/>
      </c>
      <c r="F60" s="137" t="str">
        <f>IF((INDEX(griglia,H55+2,H56+1))="","",INDEX(griglia,H55+2,H56+1))</f>
        <v/>
      </c>
      <c r="H60" t="str">
        <f t="shared" ref="H60:H65" si="0">CONCATENATE(E60,F60)</f>
        <v/>
      </c>
    </row>
    <row r="61" spans="2:87" ht="13.8" thickBot="1" x14ac:dyDescent="0.3">
      <c r="E61" s="138" t="str">
        <f>IF((INDEX(griglia,H55+3,H56))="","",INDEX(griglia,H55+3,H56))</f>
        <v/>
      </c>
      <c r="F61" s="139" t="str">
        <f>IF((INDEX(griglia,H55+3,H56+1))="","",INDEX(griglia,H55+3,H56+1))</f>
        <v/>
      </c>
      <c r="H61" t="str">
        <f t="shared" si="0"/>
        <v/>
      </c>
    </row>
    <row r="62" spans="2:87" x14ac:dyDescent="0.25">
      <c r="E62" s="136" t="str">
        <f>IF((INDEX(griglia,H55+4,H56))="","",INDEX(griglia,H55+4,H56))</f>
        <v>F</v>
      </c>
      <c r="F62" s="137" t="str">
        <f>IF((INDEX(griglia,H55+4,H56+1))="","",INDEX(griglia,H55+4,H56+1))</f>
        <v/>
      </c>
      <c r="H62" t="str">
        <f t="shared" si="0"/>
        <v>F</v>
      </c>
    </row>
    <row r="63" spans="2:87" x14ac:dyDescent="0.25">
      <c r="E63" s="136" t="str">
        <f>IF((INDEX(griglia,H55+5,H56))="","",INDEX(griglia,H55+5,H56))</f>
        <v/>
      </c>
      <c r="F63" s="137" t="str">
        <f>IF((INDEX(griglia,H55+5,H56+1))="","",INDEX(griglia,H55+5,H56+1))</f>
        <v/>
      </c>
      <c r="H63" t="str">
        <f t="shared" si="0"/>
        <v/>
      </c>
    </row>
    <row r="64" spans="2:87" x14ac:dyDescent="0.25">
      <c r="E64" s="136" t="str">
        <f>IF((INDEX(griglia,H55+6,H56))="","",INDEX(griglia,H55+6,H56))</f>
        <v/>
      </c>
      <c r="F64" s="137" t="str">
        <f>IF((INDEX(griglia,H55+6,H56+1))="","",INDEX(griglia,H55+6,H56+1))</f>
        <v>F</v>
      </c>
      <c r="H64" t="str">
        <f t="shared" si="0"/>
        <v>F</v>
      </c>
    </row>
    <row r="65" spans="5:8" ht="13.8" thickBot="1" x14ac:dyDescent="0.3">
      <c r="E65" s="138" t="str">
        <f>IF((INDEX(griglia,H55+7,H56))="","",INDEX(griglia,H55+7,H56))</f>
        <v/>
      </c>
      <c r="F65" s="139" t="str">
        <f>IF((INDEX(griglia,H55+7,H56+1))="","",INDEX(griglia,H55+7,H56+1))</f>
        <v/>
      </c>
      <c r="H65" t="str">
        <f t="shared" si="0"/>
        <v/>
      </c>
    </row>
    <row r="66" spans="5:8" ht="13.8" thickBot="1" x14ac:dyDescent="0.3">
      <c r="H66" t="str">
        <f>CONCATENATE(H58,H59,H60,H61,H62,H63,H64,H65)</f>
        <v>FF</v>
      </c>
    </row>
    <row r="67" spans="5:8" ht="13.8" thickBot="1" x14ac:dyDescent="0.3">
      <c r="H67" s="140" t="str">
        <f>LEFT(H66,1)</f>
        <v>F</v>
      </c>
    </row>
    <row r="112" ht="13.8" thickBot="1" x14ac:dyDescent="0.3"/>
    <row r="113" spans="2:86" ht="13.8" thickTop="1" x14ac:dyDescent="0.25">
      <c r="B113">
        <v>1</v>
      </c>
      <c r="C113">
        <f>IF(B106&gt;B104,1,0)</f>
        <v>0</v>
      </c>
      <c r="E113" s="141"/>
      <c r="F113" s="123"/>
      <c r="G113" s="126"/>
      <c r="H113" s="123"/>
      <c r="I113" s="142" t="s">
        <v>59</v>
      </c>
      <c r="J113" s="127"/>
      <c r="K113" s="126"/>
      <c r="L113" s="123"/>
      <c r="M113" s="127"/>
      <c r="N113" s="127"/>
      <c r="O113" s="126"/>
      <c r="P113" s="123"/>
      <c r="Q113" s="127"/>
      <c r="R113" s="123"/>
      <c r="S113" s="127"/>
      <c r="T113" s="123"/>
      <c r="U113" s="142" t="s">
        <v>59</v>
      </c>
      <c r="V113" s="123"/>
      <c r="W113" s="126"/>
      <c r="X113" s="123"/>
      <c r="Y113" s="126"/>
      <c r="Z113" s="123"/>
      <c r="AA113" s="126"/>
      <c r="AB113" s="123"/>
      <c r="AC113" s="143" t="s">
        <v>59</v>
      </c>
      <c r="AD113" s="123"/>
      <c r="AE113" s="127"/>
      <c r="AF113" s="127"/>
      <c r="AG113" s="143" t="s">
        <v>59</v>
      </c>
      <c r="AH113" s="123"/>
      <c r="AI113" s="127"/>
      <c r="AJ113" s="127"/>
      <c r="AK113" s="126"/>
      <c r="AL113" s="128" t="s">
        <v>63</v>
      </c>
      <c r="AM113" s="126"/>
      <c r="AN113" s="123"/>
      <c r="AO113" s="126"/>
      <c r="AP113" s="123"/>
      <c r="AQ113" s="126"/>
      <c r="AR113" s="128" t="s">
        <v>63</v>
      </c>
      <c r="AS113" s="143" t="s">
        <v>59</v>
      </c>
      <c r="AT113" s="123"/>
      <c r="AU113" s="142" t="s">
        <v>59</v>
      </c>
      <c r="AV113" s="142" t="s">
        <v>63</v>
      </c>
      <c r="AW113" s="126"/>
      <c r="AX113" s="128" t="s">
        <v>63</v>
      </c>
      <c r="AY113" s="126"/>
      <c r="AZ113" s="123"/>
      <c r="BA113" s="126"/>
      <c r="BB113" s="128" t="s">
        <v>63</v>
      </c>
      <c r="BC113" s="126"/>
      <c r="BD113" s="123"/>
      <c r="BE113" s="127"/>
      <c r="BF113" s="123"/>
      <c r="BG113" s="127"/>
      <c r="BH113" s="123"/>
      <c r="BI113" s="127"/>
      <c r="BJ113" s="123"/>
      <c r="BK113" s="127"/>
      <c r="BL113" s="123"/>
      <c r="BM113" s="127"/>
      <c r="BN113" s="123"/>
      <c r="BO113" s="127"/>
      <c r="BP113" s="123"/>
      <c r="BQ113" s="127"/>
      <c r="BR113" s="123"/>
      <c r="BS113" s="127"/>
      <c r="BT113" s="123"/>
      <c r="BU113" s="127"/>
      <c r="BV113" s="123"/>
      <c r="BW113" s="127"/>
      <c r="BX113" s="123"/>
      <c r="BY113" s="127"/>
      <c r="BZ113" s="123"/>
      <c r="CA113" s="127"/>
      <c r="CB113" s="123"/>
      <c r="CC113" s="127"/>
      <c r="CD113" s="123"/>
      <c r="CE113" s="127"/>
      <c r="CF113" s="123"/>
      <c r="CG113" s="127"/>
      <c r="CH113" s="144"/>
    </row>
    <row r="114" spans="2:86" x14ac:dyDescent="0.25">
      <c r="B114">
        <v>2</v>
      </c>
      <c r="E114" s="145"/>
      <c r="F114" s="98"/>
      <c r="G114" s="97"/>
      <c r="H114" s="98"/>
      <c r="I114" s="101" t="s">
        <v>59</v>
      </c>
      <c r="J114" s="31"/>
      <c r="K114" s="102" t="s">
        <v>59</v>
      </c>
      <c r="L114" s="98"/>
      <c r="M114" s="102" t="s">
        <v>59</v>
      </c>
      <c r="N114" s="98"/>
      <c r="O114" s="97"/>
      <c r="P114" s="98"/>
      <c r="Q114" s="98"/>
      <c r="R114" s="101" t="s">
        <v>63</v>
      </c>
      <c r="S114" s="101" t="s">
        <v>59</v>
      </c>
      <c r="T114" s="98"/>
      <c r="U114" s="101" t="s">
        <v>59</v>
      </c>
      <c r="V114" s="98" t="s">
        <v>60</v>
      </c>
      <c r="W114" s="102" t="s">
        <v>59</v>
      </c>
      <c r="X114" s="98"/>
      <c r="Y114" s="103" t="s">
        <v>59</v>
      </c>
      <c r="Z114" s="104" t="s">
        <v>63</v>
      </c>
      <c r="AA114" s="97"/>
      <c r="AB114" s="101" t="s">
        <v>63</v>
      </c>
      <c r="AC114" s="97" t="s">
        <v>59</v>
      </c>
      <c r="AD114" s="98" t="s">
        <v>59</v>
      </c>
      <c r="AE114" s="101" t="s">
        <v>59</v>
      </c>
      <c r="AF114" s="98" t="s">
        <v>60</v>
      </c>
      <c r="AG114" s="105" t="s">
        <v>59</v>
      </c>
      <c r="AH114" s="101" t="s">
        <v>63</v>
      </c>
      <c r="AI114" s="101" t="s">
        <v>59</v>
      </c>
      <c r="AJ114" s="101" t="s">
        <v>63</v>
      </c>
      <c r="AK114" s="100" t="s">
        <v>59</v>
      </c>
      <c r="AL114" s="101" t="s">
        <v>63</v>
      </c>
      <c r="AM114" s="100" t="s">
        <v>59</v>
      </c>
      <c r="AN114" s="98"/>
      <c r="AO114" s="99" t="s">
        <v>59</v>
      </c>
      <c r="AP114" s="101" t="s">
        <v>63</v>
      </c>
      <c r="AQ114" s="100" t="s">
        <v>59</v>
      </c>
      <c r="AR114" s="101" t="s">
        <v>63</v>
      </c>
      <c r="AS114" s="100" t="s">
        <v>59</v>
      </c>
      <c r="AT114" s="101" t="s">
        <v>63</v>
      </c>
      <c r="AU114" s="99" t="s">
        <v>59</v>
      </c>
      <c r="AV114" s="99" t="s">
        <v>63</v>
      </c>
      <c r="AW114" s="100" t="s">
        <v>59</v>
      </c>
      <c r="AX114" s="101" t="s">
        <v>63</v>
      </c>
      <c r="AY114" s="97" t="s">
        <v>60</v>
      </c>
      <c r="AZ114" s="101" t="s">
        <v>63</v>
      </c>
      <c r="BA114" s="97" t="s">
        <v>63</v>
      </c>
      <c r="BB114" s="98" t="s">
        <v>63</v>
      </c>
      <c r="BC114" s="97"/>
      <c r="BD114" s="98"/>
      <c r="BE114" s="31"/>
      <c r="BF114" s="98"/>
      <c r="BG114" s="31"/>
      <c r="BH114" s="98"/>
      <c r="BI114" s="31"/>
      <c r="BJ114" s="98"/>
      <c r="BK114" s="31"/>
      <c r="BL114" s="98"/>
      <c r="BM114" s="31"/>
      <c r="BN114" s="98"/>
      <c r="BO114" s="31"/>
      <c r="BP114" s="98"/>
      <c r="BQ114" s="31"/>
      <c r="BR114" s="98"/>
      <c r="BS114" s="31"/>
      <c r="BT114" s="98"/>
      <c r="BU114" s="31"/>
      <c r="BV114" s="98"/>
      <c r="BW114" s="31"/>
      <c r="BX114" s="98"/>
      <c r="BY114" s="31"/>
      <c r="BZ114" s="98"/>
      <c r="CA114" s="31"/>
      <c r="CB114" s="98"/>
      <c r="CC114" s="31"/>
      <c r="CD114" s="98"/>
      <c r="CE114" s="31"/>
      <c r="CF114" s="98"/>
      <c r="CG114" s="31"/>
      <c r="CH114" s="146"/>
    </row>
    <row r="115" spans="2:86" x14ac:dyDescent="0.25">
      <c r="B115">
        <v>3</v>
      </c>
      <c r="E115" s="147" t="s">
        <v>59</v>
      </c>
      <c r="F115" s="98"/>
      <c r="G115" s="106" t="s">
        <v>59</v>
      </c>
      <c r="H115" s="98"/>
      <c r="I115" s="31" t="s">
        <v>59</v>
      </c>
      <c r="J115" s="31" t="s">
        <v>59</v>
      </c>
      <c r="K115" s="107" t="s">
        <v>59</v>
      </c>
      <c r="L115" s="98" t="s">
        <v>60</v>
      </c>
      <c r="M115" s="107" t="s">
        <v>59</v>
      </c>
      <c r="N115" s="101" t="s">
        <v>63</v>
      </c>
      <c r="O115" s="106" t="s">
        <v>59</v>
      </c>
      <c r="P115" s="101" t="s">
        <v>63</v>
      </c>
      <c r="Q115" s="106" t="s">
        <v>59</v>
      </c>
      <c r="R115" s="101" t="s">
        <v>63</v>
      </c>
      <c r="S115" s="31" t="s">
        <v>59</v>
      </c>
      <c r="T115" s="98" t="s">
        <v>59</v>
      </c>
      <c r="U115" s="31" t="s">
        <v>59</v>
      </c>
      <c r="V115" s="102"/>
      <c r="W115" s="108" t="s">
        <v>59</v>
      </c>
      <c r="X115" s="102" t="s">
        <v>63</v>
      </c>
      <c r="Y115" s="100" t="s">
        <v>59</v>
      </c>
      <c r="Z115" s="101" t="s">
        <v>63</v>
      </c>
      <c r="AA115" s="100" t="s">
        <v>59</v>
      </c>
      <c r="AB115" s="101" t="s">
        <v>63</v>
      </c>
      <c r="AC115" s="97" t="s">
        <v>59</v>
      </c>
      <c r="AD115" s="101"/>
      <c r="AE115" s="31" t="s">
        <v>59</v>
      </c>
      <c r="AF115" s="99"/>
      <c r="AG115" s="97" t="s">
        <v>59</v>
      </c>
      <c r="AH115" s="105"/>
      <c r="AI115" s="31" t="s">
        <v>59</v>
      </c>
      <c r="AJ115" s="100"/>
      <c r="AK115" s="97" t="s">
        <v>59</v>
      </c>
      <c r="AL115" s="101"/>
      <c r="AM115" s="100" t="s">
        <v>59</v>
      </c>
      <c r="AN115" s="101" t="s">
        <v>63</v>
      </c>
      <c r="AO115" s="99" t="s">
        <v>59</v>
      </c>
      <c r="AP115" s="101" t="s">
        <v>63</v>
      </c>
      <c r="AQ115" s="108" t="s">
        <v>59</v>
      </c>
      <c r="AR115" s="109" t="s">
        <v>63</v>
      </c>
      <c r="AS115" s="100"/>
      <c r="AT115" s="98" t="s">
        <v>63</v>
      </c>
      <c r="AU115" s="99"/>
      <c r="AV115" s="31" t="s">
        <v>63</v>
      </c>
      <c r="AW115" s="100"/>
      <c r="AX115" s="98" t="s">
        <v>63</v>
      </c>
      <c r="AY115" s="106"/>
      <c r="AZ115" s="98" t="s">
        <v>63</v>
      </c>
      <c r="BA115" s="106"/>
      <c r="BB115" s="98" t="s">
        <v>63</v>
      </c>
      <c r="BC115" s="97"/>
      <c r="BD115" s="98"/>
      <c r="BE115" s="31"/>
      <c r="BF115" s="98"/>
      <c r="BG115" s="31"/>
      <c r="BH115" s="98"/>
      <c r="BI115" s="31"/>
      <c r="BJ115" s="98"/>
      <c r="BK115" s="31"/>
      <c r="BL115" s="98"/>
      <c r="BM115" s="31"/>
      <c r="BN115" s="98"/>
      <c r="BO115" s="31"/>
      <c r="BP115" s="98"/>
      <c r="BQ115" s="31"/>
      <c r="BR115" s="98"/>
      <c r="BS115" s="31"/>
      <c r="BT115" s="98"/>
      <c r="BU115" s="31"/>
      <c r="BV115" s="98"/>
      <c r="BW115" s="31"/>
      <c r="BX115" s="98"/>
      <c r="BY115" s="31"/>
      <c r="BZ115" s="98"/>
      <c r="CA115" s="31"/>
      <c r="CB115" s="98"/>
      <c r="CC115" s="31"/>
      <c r="CD115" s="98"/>
      <c r="CE115" s="31"/>
      <c r="CF115" s="98"/>
      <c r="CG115" s="31"/>
      <c r="CH115" s="146"/>
    </row>
    <row r="116" spans="2:86" ht="13.8" thickBot="1" x14ac:dyDescent="0.3">
      <c r="B116">
        <v>4</v>
      </c>
      <c r="E116" s="153" t="s">
        <v>59</v>
      </c>
      <c r="F116" s="111" t="s">
        <v>59</v>
      </c>
      <c r="G116" s="110" t="s">
        <v>59</v>
      </c>
      <c r="H116" s="111" t="s">
        <v>59</v>
      </c>
      <c r="I116" s="110" t="s">
        <v>59</v>
      </c>
      <c r="J116" s="112"/>
      <c r="K116" s="110" t="s">
        <v>59</v>
      </c>
      <c r="L116" s="113"/>
      <c r="M116" s="110" t="s">
        <v>59</v>
      </c>
      <c r="N116" s="114"/>
      <c r="O116" s="110" t="s">
        <v>59</v>
      </c>
      <c r="P116" s="115"/>
      <c r="Q116" s="110" t="s">
        <v>59</v>
      </c>
      <c r="R116" s="115"/>
      <c r="S116" s="116" t="s">
        <v>59</v>
      </c>
      <c r="T116" s="115"/>
      <c r="U116" s="116" t="s">
        <v>59</v>
      </c>
      <c r="V116" s="114"/>
      <c r="W116" s="110" t="s">
        <v>59</v>
      </c>
      <c r="X116" s="114"/>
      <c r="Y116" s="110" t="s">
        <v>59</v>
      </c>
      <c r="Z116" s="115"/>
      <c r="AA116" s="110" t="s">
        <v>59</v>
      </c>
      <c r="AB116" s="115"/>
      <c r="AC116" s="110"/>
      <c r="AD116" s="111"/>
      <c r="AE116" s="116"/>
      <c r="AF116" s="116"/>
      <c r="AG116" s="110"/>
      <c r="AH116" s="111"/>
      <c r="AI116" s="116"/>
      <c r="AJ116" s="110"/>
      <c r="AK116" s="110"/>
      <c r="AL116" s="111"/>
      <c r="AM116" s="110"/>
      <c r="AN116" s="111"/>
      <c r="AO116" s="110"/>
      <c r="AP116" s="111"/>
      <c r="AQ116" s="110"/>
      <c r="AR116" s="111"/>
      <c r="AS116" s="110"/>
      <c r="AT116" s="111"/>
      <c r="AU116" s="116"/>
      <c r="AV116" s="116"/>
      <c r="AW116" s="110"/>
      <c r="AX116" s="111"/>
      <c r="AY116" s="110"/>
      <c r="AZ116" s="111"/>
      <c r="BA116" s="110"/>
      <c r="BB116" s="111"/>
      <c r="BC116" s="110"/>
      <c r="BD116" s="111"/>
      <c r="BE116" s="116"/>
      <c r="BF116" s="111"/>
      <c r="BG116" s="116"/>
      <c r="BH116" s="111"/>
      <c r="BI116" s="116"/>
      <c r="BJ116" s="111"/>
      <c r="BK116" s="116"/>
      <c r="BL116" s="111"/>
      <c r="BM116" s="116"/>
      <c r="BN116" s="111"/>
      <c r="BO116" s="116"/>
      <c r="BP116" s="111"/>
      <c r="BQ116" s="116"/>
      <c r="BR116" s="111"/>
      <c r="BS116" s="116"/>
      <c r="BT116" s="111"/>
      <c r="BU116" s="116"/>
      <c r="BV116" s="111"/>
      <c r="BW116" s="116"/>
      <c r="BX116" s="111"/>
      <c r="BY116" s="116"/>
      <c r="BZ116" s="111"/>
      <c r="CA116" s="116"/>
      <c r="CB116" s="111"/>
      <c r="CC116" s="116"/>
      <c r="CD116" s="111"/>
      <c r="CE116" s="116"/>
      <c r="CF116" s="111"/>
      <c r="CG116" s="116"/>
      <c r="CH116" s="148"/>
    </row>
    <row r="117" spans="2:86" x14ac:dyDescent="0.25">
      <c r="B117">
        <v>5</v>
      </c>
      <c r="E117" s="145" t="s">
        <v>59</v>
      </c>
      <c r="F117" s="98" t="s">
        <v>59</v>
      </c>
      <c r="G117" s="97" t="s">
        <v>59</v>
      </c>
      <c r="H117" s="107"/>
      <c r="I117" s="97" t="s">
        <v>59</v>
      </c>
      <c r="J117" s="100"/>
      <c r="K117" s="97" t="s">
        <v>59</v>
      </c>
      <c r="L117" s="107"/>
      <c r="M117" s="97" t="s">
        <v>59</v>
      </c>
      <c r="N117" s="105"/>
      <c r="O117" s="97" t="s">
        <v>59</v>
      </c>
      <c r="P117" s="107"/>
      <c r="Q117" s="97" t="s">
        <v>59</v>
      </c>
      <c r="R117" s="107"/>
      <c r="S117" s="31"/>
      <c r="T117" s="98"/>
      <c r="U117" s="117"/>
      <c r="V117" s="118"/>
      <c r="W117" s="31"/>
      <c r="X117" s="98"/>
      <c r="Y117" s="97"/>
      <c r="Z117" s="98"/>
      <c r="AA117" s="97"/>
      <c r="AB117" s="98"/>
      <c r="AC117" s="97"/>
      <c r="AD117" s="118"/>
      <c r="AE117" s="119"/>
      <c r="AF117" s="119"/>
      <c r="AG117" s="117"/>
      <c r="AH117" s="118"/>
      <c r="AI117" s="31"/>
      <c r="AJ117" s="118"/>
      <c r="AK117" s="97"/>
      <c r="AL117" s="118"/>
      <c r="AM117" s="97"/>
      <c r="AN117" s="118"/>
      <c r="AO117" s="97"/>
      <c r="AP117" s="31"/>
      <c r="AQ117" s="97"/>
      <c r="AR117" s="98"/>
      <c r="AS117" s="97"/>
      <c r="AT117" s="118"/>
      <c r="AU117" s="31"/>
      <c r="AV117" s="118"/>
      <c r="AW117" s="31"/>
      <c r="AX117" s="98"/>
      <c r="AY117" s="97"/>
      <c r="AZ117" s="118"/>
      <c r="BA117" s="97"/>
      <c r="BB117" s="118"/>
      <c r="BC117" s="97"/>
      <c r="BD117" s="98"/>
      <c r="BE117" s="31"/>
      <c r="BF117" s="98"/>
      <c r="BG117" s="31"/>
      <c r="BH117" s="98"/>
      <c r="BI117" s="31"/>
      <c r="BJ117" s="98"/>
      <c r="BK117" s="31"/>
      <c r="BL117" s="98"/>
      <c r="BM117" s="31"/>
      <c r="BN117" s="98"/>
      <c r="BO117" s="31"/>
      <c r="BP117" s="98"/>
      <c r="BQ117" s="31"/>
      <c r="BR117" s="98"/>
      <c r="BS117" s="31"/>
      <c r="BT117" s="98"/>
      <c r="BU117" s="31"/>
      <c r="BV117" s="98"/>
      <c r="BW117" s="31"/>
      <c r="BX117" s="98"/>
      <c r="BY117" s="31"/>
      <c r="BZ117" s="98"/>
      <c r="CA117" s="31"/>
      <c r="CB117" s="98"/>
      <c r="CC117" s="31"/>
      <c r="CD117" s="98"/>
      <c r="CE117" s="31"/>
      <c r="CF117" s="98"/>
      <c r="CG117" s="31"/>
      <c r="CH117" s="146"/>
    </row>
    <row r="118" spans="2:86" x14ac:dyDescent="0.25">
      <c r="B118">
        <v>6</v>
      </c>
      <c r="E118" s="145" t="s">
        <v>59</v>
      </c>
      <c r="F118" s="106"/>
      <c r="G118" s="97"/>
      <c r="H118" s="98"/>
      <c r="I118" s="31"/>
      <c r="J118" s="31"/>
      <c r="K118" s="97"/>
      <c r="L118" s="98"/>
      <c r="M118" s="31"/>
      <c r="N118" s="98"/>
      <c r="O118" s="97" t="s">
        <v>59</v>
      </c>
      <c r="P118" s="101"/>
      <c r="Q118" s="31"/>
      <c r="R118" s="98"/>
      <c r="S118" s="31"/>
      <c r="T118" s="98"/>
      <c r="U118" s="31"/>
      <c r="V118" s="98"/>
      <c r="W118" s="31"/>
      <c r="X118" s="98"/>
      <c r="Y118" s="97"/>
      <c r="Z118" s="98"/>
      <c r="AA118" s="97"/>
      <c r="AB118" s="98"/>
      <c r="AC118" s="97"/>
      <c r="AD118" s="98"/>
      <c r="AE118" s="31"/>
      <c r="AF118" s="31"/>
      <c r="AG118" s="97"/>
      <c r="AH118" s="98"/>
      <c r="AI118" s="31"/>
      <c r="AJ118" s="98"/>
      <c r="AK118" s="97"/>
      <c r="AL118" s="98"/>
      <c r="AM118" s="97"/>
      <c r="AN118" s="98"/>
      <c r="AO118" s="97"/>
      <c r="AP118" s="98"/>
      <c r="AQ118" s="97"/>
      <c r="AR118" s="98"/>
      <c r="AS118" s="97"/>
      <c r="AT118" s="98"/>
      <c r="AU118" s="31"/>
      <c r="AV118" s="98"/>
      <c r="AW118" s="31"/>
      <c r="AX118" s="98"/>
      <c r="AY118" s="97"/>
      <c r="AZ118" s="98"/>
      <c r="BA118" s="97"/>
      <c r="BB118" s="98"/>
      <c r="BC118" s="97"/>
      <c r="BD118" s="98"/>
      <c r="BE118" s="31"/>
      <c r="BF118" s="98"/>
      <c r="BG118" s="31"/>
      <c r="BH118" s="98"/>
      <c r="BI118" s="31"/>
      <c r="BJ118" s="98"/>
      <c r="BK118" s="31"/>
      <c r="BL118" s="98"/>
      <c r="BM118" s="31"/>
      <c r="BN118" s="98"/>
      <c r="BO118" s="31"/>
      <c r="BP118" s="98"/>
      <c r="BQ118" s="31"/>
      <c r="BR118" s="98"/>
      <c r="BS118" s="31"/>
      <c r="BT118" s="98"/>
      <c r="BU118" s="31"/>
      <c r="BV118" s="98"/>
      <c r="BW118" s="31"/>
      <c r="BX118" s="98"/>
      <c r="BY118" s="31"/>
      <c r="BZ118" s="98"/>
      <c r="CA118" s="31"/>
      <c r="CB118" s="98"/>
      <c r="CC118" s="31"/>
      <c r="CD118" s="98"/>
      <c r="CE118" s="31"/>
      <c r="CF118" s="98"/>
      <c r="CG118" s="31"/>
      <c r="CH118" s="146"/>
    </row>
    <row r="119" spans="2:86" x14ac:dyDescent="0.25">
      <c r="B119">
        <v>7</v>
      </c>
      <c r="E119" s="145"/>
      <c r="F119" s="98"/>
      <c r="G119" s="97"/>
      <c r="H119" s="98"/>
      <c r="I119" s="31"/>
      <c r="J119" s="31"/>
      <c r="K119" s="97"/>
      <c r="L119" s="98"/>
      <c r="M119" s="31"/>
      <c r="N119" s="98"/>
      <c r="O119" s="97"/>
      <c r="P119" s="98"/>
      <c r="Q119" s="31"/>
      <c r="R119" s="98"/>
      <c r="S119" s="31"/>
      <c r="T119" s="98"/>
      <c r="U119" s="31"/>
      <c r="V119" s="98"/>
      <c r="W119" s="31"/>
      <c r="X119" s="98"/>
      <c r="Y119" s="97"/>
      <c r="Z119" s="98"/>
      <c r="AA119" s="97"/>
      <c r="AB119" s="98"/>
      <c r="AC119" s="97"/>
      <c r="AD119" s="98"/>
      <c r="AE119" s="31"/>
      <c r="AF119" s="31"/>
      <c r="AG119" s="97"/>
      <c r="AH119" s="98"/>
      <c r="AI119" s="31"/>
      <c r="AJ119" s="98"/>
      <c r="AK119" s="97"/>
      <c r="AL119" s="98"/>
      <c r="AM119" s="97"/>
      <c r="AN119" s="98"/>
      <c r="AO119" s="97"/>
      <c r="AP119" s="98"/>
      <c r="AQ119" s="97"/>
      <c r="AR119" s="98"/>
      <c r="AS119" s="97"/>
      <c r="AT119" s="98"/>
      <c r="AU119" s="31"/>
      <c r="AV119" s="98"/>
      <c r="AW119" s="31"/>
      <c r="AX119" s="98"/>
      <c r="AY119" s="97"/>
      <c r="AZ119" s="98"/>
      <c r="BA119" s="97"/>
      <c r="BB119" s="98"/>
      <c r="BC119" s="97"/>
      <c r="BD119" s="98"/>
      <c r="BE119" s="31"/>
      <c r="BF119" s="98"/>
      <c r="BG119" s="31"/>
      <c r="BH119" s="98"/>
      <c r="BI119" s="31"/>
      <c r="BJ119" s="98"/>
      <c r="BK119" s="31"/>
      <c r="BL119" s="98"/>
      <c r="BM119" s="31"/>
      <c r="BN119" s="98"/>
      <c r="BO119" s="31"/>
      <c r="BP119" s="98"/>
      <c r="BQ119" s="31"/>
      <c r="BR119" s="98"/>
      <c r="BS119" s="31"/>
      <c r="BT119" s="98"/>
      <c r="BU119" s="31"/>
      <c r="BV119" s="98"/>
      <c r="BW119" s="31"/>
      <c r="BX119" s="98"/>
      <c r="BY119" s="31"/>
      <c r="BZ119" s="98"/>
      <c r="CA119" s="31"/>
      <c r="CB119" s="98"/>
      <c r="CC119" s="31"/>
      <c r="CD119" s="98"/>
      <c r="CE119" s="31"/>
      <c r="CF119" s="98"/>
      <c r="CG119" s="31"/>
      <c r="CH119" s="146"/>
    </row>
    <row r="120" spans="2:86" ht="13.8" thickBot="1" x14ac:dyDescent="0.3">
      <c r="B120">
        <v>8</v>
      </c>
      <c r="E120" s="150"/>
      <c r="F120" s="121"/>
      <c r="G120" s="120"/>
      <c r="H120" s="121"/>
      <c r="I120" s="122"/>
      <c r="J120" s="122"/>
      <c r="K120" s="120"/>
      <c r="L120" s="121"/>
      <c r="M120" s="122"/>
      <c r="N120" s="121"/>
      <c r="O120" s="120"/>
      <c r="P120" s="121"/>
      <c r="Q120" s="122"/>
      <c r="R120" s="121"/>
      <c r="S120" s="122"/>
      <c r="T120" s="121"/>
      <c r="U120" s="122"/>
      <c r="V120" s="121"/>
      <c r="W120" s="122"/>
      <c r="X120" s="121"/>
      <c r="Y120" s="120"/>
      <c r="Z120" s="121"/>
      <c r="AA120" s="120"/>
      <c r="AB120" s="121"/>
      <c r="AC120" s="120"/>
      <c r="AD120" s="121"/>
      <c r="AE120" s="122"/>
      <c r="AF120" s="122"/>
      <c r="AG120" s="120"/>
      <c r="AH120" s="121"/>
      <c r="AI120" s="122"/>
      <c r="AJ120" s="121"/>
      <c r="AK120" s="120"/>
      <c r="AL120" s="121"/>
      <c r="AM120" s="120"/>
      <c r="AN120" s="121"/>
      <c r="AO120" s="120"/>
      <c r="AP120" s="121"/>
      <c r="AQ120" s="120"/>
      <c r="AR120" s="121"/>
      <c r="AS120" s="120"/>
      <c r="AT120" s="121"/>
      <c r="AU120" s="122"/>
      <c r="AV120" s="121"/>
      <c r="AW120" s="122"/>
      <c r="AX120" s="121"/>
      <c r="AY120" s="120"/>
      <c r="AZ120" s="121"/>
      <c r="BA120" s="120"/>
      <c r="BB120" s="121"/>
      <c r="BC120" s="120"/>
      <c r="BD120" s="121"/>
      <c r="BE120" s="122"/>
      <c r="BF120" s="121"/>
      <c r="BG120" s="122"/>
      <c r="BH120" s="121"/>
      <c r="BI120" s="122"/>
      <c r="BJ120" s="121"/>
      <c r="BK120" s="122"/>
      <c r="BL120" s="121"/>
      <c r="BM120" s="122"/>
      <c r="BN120" s="121"/>
      <c r="BO120" s="122"/>
      <c r="BP120" s="121"/>
      <c r="BQ120" s="122"/>
      <c r="BR120" s="121"/>
      <c r="BS120" s="122"/>
      <c r="BT120" s="121"/>
      <c r="BU120" s="122"/>
      <c r="BV120" s="121"/>
      <c r="BW120" s="122"/>
      <c r="BX120" s="121"/>
      <c r="BY120" s="122"/>
      <c r="BZ120" s="121"/>
      <c r="CA120" s="122"/>
      <c r="CB120" s="121"/>
      <c r="CC120" s="122"/>
      <c r="CD120" s="121"/>
      <c r="CE120" s="122"/>
      <c r="CF120" s="121"/>
      <c r="CG120" s="122"/>
      <c r="CH120" s="151"/>
    </row>
    <row r="121" spans="2:86" ht="13.8" thickTop="1" x14ac:dyDescent="0.25">
      <c r="B121">
        <v>9</v>
      </c>
      <c r="C121">
        <f>IF(B106=B104,2,0)</f>
        <v>2</v>
      </c>
      <c r="E121" s="145"/>
      <c r="F121" s="123"/>
      <c r="G121" s="31"/>
      <c r="H121" s="123"/>
      <c r="I121" s="31"/>
      <c r="J121" s="123"/>
      <c r="K121" s="31"/>
      <c r="L121" s="123"/>
      <c r="M121" s="31"/>
      <c r="N121" s="98"/>
      <c r="O121" s="97"/>
      <c r="P121" s="123"/>
      <c r="Q121" s="31"/>
      <c r="R121" s="98"/>
      <c r="S121" s="31"/>
      <c r="T121" s="98"/>
      <c r="U121" s="31"/>
      <c r="V121" s="123"/>
      <c r="W121" s="31"/>
      <c r="X121" s="123"/>
      <c r="Y121" s="31"/>
      <c r="Z121" s="123"/>
      <c r="AA121" s="31"/>
      <c r="AB121" s="123"/>
      <c r="AC121" s="31"/>
      <c r="AD121" s="123"/>
      <c r="AE121" s="31"/>
      <c r="AF121" s="31"/>
      <c r="AG121" s="97"/>
      <c r="AH121" s="98"/>
      <c r="AI121" s="31"/>
      <c r="AJ121" s="98"/>
      <c r="AK121" s="31"/>
      <c r="AL121" s="123"/>
      <c r="AM121" s="31"/>
      <c r="AN121" s="123"/>
      <c r="AO121" s="31"/>
      <c r="AP121" s="123"/>
      <c r="AQ121" s="31"/>
      <c r="AR121" s="123"/>
      <c r="AS121" s="31"/>
      <c r="AT121" s="123"/>
      <c r="AU121" s="31"/>
      <c r="AV121" s="98"/>
      <c r="AW121" s="31"/>
      <c r="AX121" s="123"/>
      <c r="AY121" s="31"/>
      <c r="AZ121" s="123"/>
      <c r="BA121" s="31"/>
      <c r="BB121" s="123"/>
      <c r="BC121" s="97"/>
      <c r="BD121" s="98"/>
      <c r="BE121" s="31"/>
      <c r="BF121" s="98"/>
      <c r="BG121" s="31"/>
      <c r="BH121" s="98"/>
      <c r="BI121" s="31"/>
      <c r="BJ121" s="98"/>
      <c r="BK121" s="31"/>
      <c r="BL121" s="98"/>
      <c r="BM121" s="31"/>
      <c r="BN121" s="98"/>
      <c r="BO121" s="31"/>
      <c r="BP121" s="98"/>
      <c r="BQ121" s="31"/>
      <c r="BR121" s="98"/>
      <c r="BS121" s="31"/>
      <c r="BT121" s="98"/>
      <c r="BU121" s="31"/>
      <c r="BV121" s="98"/>
      <c r="BW121" s="31"/>
      <c r="BX121" s="98"/>
      <c r="BY121" s="31"/>
      <c r="BZ121" s="98"/>
      <c r="CA121" s="31"/>
      <c r="CB121" s="98"/>
      <c r="CC121" s="31"/>
      <c r="CD121" s="98"/>
      <c r="CE121" s="31"/>
      <c r="CF121" s="98"/>
      <c r="CG121" s="31"/>
      <c r="CH121" s="146"/>
    </row>
    <row r="122" spans="2:86" x14ac:dyDescent="0.25">
      <c r="B122">
        <v>10</v>
      </c>
      <c r="E122" s="145"/>
      <c r="F122" s="98"/>
      <c r="G122" s="31"/>
      <c r="H122" s="98"/>
      <c r="I122" s="31"/>
      <c r="J122" s="98"/>
      <c r="K122" s="31"/>
      <c r="L122" s="98"/>
      <c r="M122" s="31"/>
      <c r="N122" s="98"/>
      <c r="O122" s="97"/>
      <c r="P122" s="98"/>
      <c r="Q122" s="31"/>
      <c r="R122" s="98"/>
      <c r="S122" s="31"/>
      <c r="T122" s="98"/>
      <c r="U122" s="31"/>
      <c r="V122" s="98"/>
      <c r="W122" s="31"/>
      <c r="X122" s="98"/>
      <c r="Y122" s="31"/>
      <c r="Z122" s="98"/>
      <c r="AA122" s="31"/>
      <c r="AB122" s="98"/>
      <c r="AC122" s="31"/>
      <c r="AD122" s="98"/>
      <c r="AE122" s="31"/>
      <c r="AF122" s="31"/>
      <c r="AG122" s="97"/>
      <c r="AH122" s="98"/>
      <c r="AI122" s="31"/>
      <c r="AJ122" s="98"/>
      <c r="AK122" s="31"/>
      <c r="AL122" s="98"/>
      <c r="AM122" s="31"/>
      <c r="AN122" s="98"/>
      <c r="AO122" s="31"/>
      <c r="AP122" s="98"/>
      <c r="AQ122" s="31"/>
      <c r="AR122" s="98"/>
      <c r="AS122" s="99" t="s">
        <v>59</v>
      </c>
      <c r="AT122" s="98"/>
      <c r="AU122" s="31"/>
      <c r="AV122" s="98"/>
      <c r="AW122" s="31"/>
      <c r="AX122" s="101" t="s">
        <v>63</v>
      </c>
      <c r="AY122" s="31"/>
      <c r="AZ122" s="98"/>
      <c r="BA122" s="31"/>
      <c r="BB122" s="101" t="s">
        <v>63</v>
      </c>
      <c r="BC122" s="97"/>
      <c r="BD122" s="98"/>
      <c r="BE122" s="31"/>
      <c r="BF122" s="98"/>
      <c r="BG122" s="31"/>
      <c r="BH122" s="98"/>
      <c r="BI122" s="31"/>
      <c r="BJ122" s="98"/>
      <c r="BK122" s="31"/>
      <c r="BL122" s="98"/>
      <c r="BM122" s="31"/>
      <c r="BN122" s="98"/>
      <c r="BO122" s="31"/>
      <c r="BP122" s="98"/>
      <c r="BQ122" s="31"/>
      <c r="BR122" s="98"/>
      <c r="BS122" s="31"/>
      <c r="BT122" s="98"/>
      <c r="BU122" s="31"/>
      <c r="BV122" s="98"/>
      <c r="BW122" s="31"/>
      <c r="BX122" s="98"/>
      <c r="BY122" s="31"/>
      <c r="BZ122" s="98"/>
      <c r="CA122" s="31"/>
      <c r="CB122" s="98"/>
      <c r="CC122" s="31"/>
      <c r="CD122" s="98"/>
      <c r="CE122" s="31"/>
      <c r="CF122" s="98"/>
      <c r="CG122" s="31"/>
      <c r="CH122" s="146"/>
    </row>
    <row r="123" spans="2:86" x14ac:dyDescent="0.25">
      <c r="B123">
        <v>11</v>
      </c>
      <c r="E123" s="145"/>
      <c r="F123" s="98"/>
      <c r="G123" s="104" t="s">
        <v>59</v>
      </c>
      <c r="H123" s="98"/>
      <c r="I123" s="31"/>
      <c r="J123" s="98"/>
      <c r="K123" s="31"/>
      <c r="L123" s="98"/>
      <c r="M123" s="99" t="s">
        <v>59</v>
      </c>
      <c r="N123" s="98"/>
      <c r="O123" s="97"/>
      <c r="P123" s="98"/>
      <c r="Q123" s="31"/>
      <c r="R123" s="101" t="s">
        <v>63</v>
      </c>
      <c r="S123" s="31"/>
      <c r="T123" s="98"/>
      <c r="U123" s="31"/>
      <c r="V123" s="98"/>
      <c r="W123" s="99" t="s">
        <v>59</v>
      </c>
      <c r="X123" s="98"/>
      <c r="Y123" s="31"/>
      <c r="Z123" s="98"/>
      <c r="AA123" s="31"/>
      <c r="AB123" s="101" t="s">
        <v>63</v>
      </c>
      <c r="AC123" s="31"/>
      <c r="AD123" s="98"/>
      <c r="AE123" s="31"/>
      <c r="AF123" s="31"/>
      <c r="AG123" s="97"/>
      <c r="AH123" s="98"/>
      <c r="AI123" s="31"/>
      <c r="AJ123" s="98"/>
      <c r="AK123" s="31"/>
      <c r="AL123" s="98"/>
      <c r="AM123" s="100" t="s">
        <v>59</v>
      </c>
      <c r="AN123" s="98"/>
      <c r="AO123" s="31"/>
      <c r="AP123" s="98"/>
      <c r="AQ123" s="31"/>
      <c r="AR123" s="101" t="s">
        <v>63</v>
      </c>
      <c r="AS123" s="99" t="s">
        <v>59</v>
      </c>
      <c r="AT123" s="101" t="s">
        <v>63</v>
      </c>
      <c r="AU123" s="99" t="s">
        <v>59</v>
      </c>
      <c r="AV123" s="101" t="s">
        <v>63</v>
      </c>
      <c r="AW123" s="99" t="s">
        <v>59</v>
      </c>
      <c r="AX123" s="101" t="s">
        <v>63</v>
      </c>
      <c r="AY123" s="31" t="s">
        <v>60</v>
      </c>
      <c r="AZ123" s="101" t="s">
        <v>63</v>
      </c>
      <c r="BA123" s="31" t="s">
        <v>63</v>
      </c>
      <c r="BB123" s="98" t="s">
        <v>63</v>
      </c>
      <c r="BC123" s="97"/>
      <c r="BD123" s="98"/>
      <c r="BE123" s="31"/>
      <c r="BF123" s="98"/>
      <c r="BG123" s="31"/>
      <c r="BH123" s="98"/>
      <c r="BI123" s="31"/>
      <c r="BJ123" s="98"/>
      <c r="BK123" s="31"/>
      <c r="BL123" s="98"/>
      <c r="BM123" s="31"/>
      <c r="BN123" s="98"/>
      <c r="BO123" s="31"/>
      <c r="BP123" s="98"/>
      <c r="BQ123" s="31"/>
      <c r="BR123" s="98"/>
      <c r="BS123" s="31"/>
      <c r="BT123" s="98"/>
      <c r="BU123" s="31"/>
      <c r="BV123" s="98"/>
      <c r="BW123" s="31"/>
      <c r="BX123" s="98"/>
      <c r="BY123" s="31"/>
      <c r="BZ123" s="98"/>
      <c r="CA123" s="31"/>
      <c r="CB123" s="98"/>
      <c r="CC123" s="31"/>
      <c r="CD123" s="98"/>
      <c r="CE123" s="31"/>
      <c r="CF123" s="98"/>
      <c r="CG123" s="31"/>
      <c r="CH123" s="146"/>
    </row>
    <row r="124" spans="2:86" ht="13.8" thickBot="1" x14ac:dyDescent="0.3">
      <c r="B124">
        <v>12</v>
      </c>
      <c r="E124" s="152" t="s">
        <v>59</v>
      </c>
      <c r="F124" s="111"/>
      <c r="G124" s="115" t="s">
        <v>59</v>
      </c>
      <c r="H124" s="111" t="s">
        <v>60</v>
      </c>
      <c r="I124" s="116"/>
      <c r="J124" s="111"/>
      <c r="K124" s="116"/>
      <c r="L124" s="111"/>
      <c r="M124" s="115" t="s">
        <v>59</v>
      </c>
      <c r="N124" s="115" t="s">
        <v>63</v>
      </c>
      <c r="O124" s="112" t="s">
        <v>59</v>
      </c>
      <c r="P124" s="115" t="s">
        <v>63</v>
      </c>
      <c r="Q124" s="124" t="s">
        <v>59</v>
      </c>
      <c r="R124" s="115" t="s">
        <v>63</v>
      </c>
      <c r="S124" s="116"/>
      <c r="T124" s="111"/>
      <c r="U124" s="116"/>
      <c r="V124" s="111"/>
      <c r="W124" s="124" t="s">
        <v>59</v>
      </c>
      <c r="X124" s="115" t="s">
        <v>63</v>
      </c>
      <c r="Y124" s="124" t="s">
        <v>59</v>
      </c>
      <c r="Z124" s="115" t="s">
        <v>63</v>
      </c>
      <c r="AA124" s="124" t="s">
        <v>59</v>
      </c>
      <c r="AB124" s="115" t="s">
        <v>63</v>
      </c>
      <c r="AC124" s="110"/>
      <c r="AD124" s="111"/>
      <c r="AE124" s="116"/>
      <c r="AF124" s="116"/>
      <c r="AG124" s="110"/>
      <c r="AH124" s="111"/>
      <c r="AI124" s="116"/>
      <c r="AJ124" s="111"/>
      <c r="AK124" s="116"/>
      <c r="AL124" s="111"/>
      <c r="AM124" s="112" t="s">
        <v>59</v>
      </c>
      <c r="AN124" s="115" t="s">
        <v>63</v>
      </c>
      <c r="AO124" s="112" t="s">
        <v>59</v>
      </c>
      <c r="AP124" s="115" t="s">
        <v>63</v>
      </c>
      <c r="AQ124" s="112" t="s">
        <v>59</v>
      </c>
      <c r="AR124" s="115" t="s">
        <v>63</v>
      </c>
      <c r="AS124" s="124"/>
      <c r="AT124" s="111" t="s">
        <v>63</v>
      </c>
      <c r="AU124" s="124"/>
      <c r="AV124" s="111" t="s">
        <v>63</v>
      </c>
      <c r="AW124" s="124"/>
      <c r="AX124" s="111" t="s">
        <v>63</v>
      </c>
      <c r="AY124" s="112"/>
      <c r="AZ124" s="111" t="s">
        <v>63</v>
      </c>
      <c r="BA124" s="124"/>
      <c r="BB124" s="111" t="s">
        <v>63</v>
      </c>
      <c r="BC124" s="97"/>
      <c r="BD124" s="98"/>
      <c r="BE124" s="31"/>
      <c r="BF124" s="98"/>
      <c r="BG124" s="31"/>
      <c r="BH124" s="98"/>
      <c r="BI124" s="31"/>
      <c r="BJ124" s="98"/>
      <c r="BK124" s="31"/>
      <c r="BL124" s="98"/>
      <c r="BM124" s="31"/>
      <c r="BN124" s="98"/>
      <c r="BO124" s="31"/>
      <c r="BP124" s="98"/>
      <c r="BQ124" s="31"/>
      <c r="BR124" s="98"/>
      <c r="BS124" s="31"/>
      <c r="BT124" s="98"/>
      <c r="BU124" s="31"/>
      <c r="BV124" s="98"/>
      <c r="BW124" s="31"/>
      <c r="BX124" s="98"/>
      <c r="BY124" s="31"/>
      <c r="BZ124" s="98"/>
      <c r="CA124" s="31"/>
      <c r="CB124" s="98"/>
      <c r="CC124" s="31"/>
      <c r="CD124" s="98"/>
      <c r="CE124" s="31"/>
      <c r="CF124" s="98"/>
      <c r="CG124" s="31"/>
      <c r="CH124" s="146"/>
    </row>
    <row r="125" spans="2:86" x14ac:dyDescent="0.25">
      <c r="B125">
        <v>13</v>
      </c>
      <c r="E125" s="145" t="s">
        <v>59</v>
      </c>
      <c r="F125" s="98" t="s">
        <v>59</v>
      </c>
      <c r="G125" s="31" t="s">
        <v>59</v>
      </c>
      <c r="H125" s="105"/>
      <c r="I125" s="31"/>
      <c r="J125" s="98"/>
      <c r="K125" s="31"/>
      <c r="L125" s="98"/>
      <c r="M125" s="31" t="s">
        <v>59</v>
      </c>
      <c r="N125" s="101"/>
      <c r="O125" s="97" t="s">
        <v>59</v>
      </c>
      <c r="P125" s="101"/>
      <c r="Q125" s="31" t="s">
        <v>59</v>
      </c>
      <c r="R125" s="101"/>
      <c r="S125" s="31"/>
      <c r="T125" s="98"/>
      <c r="U125" s="31"/>
      <c r="V125" s="98"/>
      <c r="W125" s="31"/>
      <c r="X125" s="98"/>
      <c r="Y125" s="31"/>
      <c r="Z125" s="98"/>
      <c r="AA125" s="31"/>
      <c r="AB125" s="98"/>
      <c r="AC125" s="31"/>
      <c r="AD125" s="98"/>
      <c r="AE125" s="31"/>
      <c r="AF125" s="31"/>
      <c r="AG125" s="97"/>
      <c r="AH125" s="98"/>
      <c r="AI125" s="31"/>
      <c r="AJ125" s="98"/>
      <c r="AK125" s="31"/>
      <c r="AL125" s="98"/>
      <c r="AM125" s="31"/>
      <c r="AN125" s="98"/>
      <c r="AO125" s="31"/>
      <c r="AP125" s="98"/>
      <c r="AQ125" s="31"/>
      <c r="AR125" s="98"/>
      <c r="AS125" s="31"/>
      <c r="AT125" s="98"/>
      <c r="AU125" s="31"/>
      <c r="AV125" s="98"/>
      <c r="AW125" s="31"/>
      <c r="AX125" s="98"/>
      <c r="AY125" s="31"/>
      <c r="AZ125" s="98"/>
      <c r="BA125" s="31"/>
      <c r="BB125" s="98"/>
      <c r="BC125" s="97"/>
      <c r="BD125" s="98"/>
      <c r="BE125" s="31"/>
      <c r="BF125" s="98"/>
      <c r="BG125" s="31"/>
      <c r="BH125" s="98"/>
      <c r="BI125" s="31"/>
      <c r="BJ125" s="98"/>
      <c r="BK125" s="31"/>
      <c r="BL125" s="98"/>
      <c r="BM125" s="31"/>
      <c r="BN125" s="98"/>
      <c r="BO125" s="31"/>
      <c r="BP125" s="98"/>
      <c r="BQ125" s="31"/>
      <c r="BR125" s="98"/>
      <c r="BS125" s="31"/>
      <c r="BT125" s="98"/>
      <c r="BU125" s="31"/>
      <c r="BV125" s="98"/>
      <c r="BW125" s="31"/>
      <c r="BX125" s="98"/>
      <c r="BY125" s="31"/>
      <c r="BZ125" s="98"/>
      <c r="CA125" s="31"/>
      <c r="CB125" s="98"/>
      <c r="CC125" s="31"/>
      <c r="CD125" s="98"/>
      <c r="CE125" s="31"/>
      <c r="CF125" s="98"/>
      <c r="CG125" s="31"/>
      <c r="CH125" s="146"/>
    </row>
    <row r="126" spans="2:86" x14ac:dyDescent="0.25">
      <c r="B126">
        <v>14</v>
      </c>
      <c r="E126" s="145" t="s">
        <v>59</v>
      </c>
      <c r="F126" s="101"/>
      <c r="G126" s="31" t="s">
        <v>59</v>
      </c>
      <c r="H126" s="107"/>
      <c r="I126" s="31"/>
      <c r="J126" s="98"/>
      <c r="K126" s="31"/>
      <c r="L126" s="98"/>
      <c r="M126" s="31"/>
      <c r="N126" s="98"/>
      <c r="O126" s="97"/>
      <c r="P126" s="98"/>
      <c r="Q126" s="31"/>
      <c r="R126" s="98"/>
      <c r="S126" s="31"/>
      <c r="T126" s="98"/>
      <c r="U126" s="31"/>
      <c r="V126" s="98"/>
      <c r="W126" s="31"/>
      <c r="X126" s="98"/>
      <c r="Y126" s="31"/>
      <c r="Z126" s="98"/>
      <c r="AA126" s="31"/>
      <c r="AB126" s="98"/>
      <c r="AC126" s="31"/>
      <c r="AD126" s="98"/>
      <c r="AE126" s="31"/>
      <c r="AF126" s="31"/>
      <c r="AG126" s="97"/>
      <c r="AH126" s="98"/>
      <c r="AI126" s="31"/>
      <c r="AJ126" s="98"/>
      <c r="AK126" s="31"/>
      <c r="AL126" s="98"/>
      <c r="AM126" s="31"/>
      <c r="AN126" s="98"/>
      <c r="AO126" s="31"/>
      <c r="AP126" s="98"/>
      <c r="AQ126" s="31"/>
      <c r="AR126" s="98"/>
      <c r="AS126" s="31"/>
      <c r="AT126" s="98"/>
      <c r="AU126" s="31"/>
      <c r="AV126" s="98"/>
      <c r="AW126" s="31"/>
      <c r="AX126" s="98"/>
      <c r="AY126" s="31"/>
      <c r="AZ126" s="98"/>
      <c r="BA126" s="31"/>
      <c r="BB126" s="98"/>
      <c r="BC126" s="97"/>
      <c r="BD126" s="98"/>
      <c r="BE126" s="31"/>
      <c r="BF126" s="98"/>
      <c r="BG126" s="31"/>
      <c r="BH126" s="98"/>
      <c r="BI126" s="31"/>
      <c r="BJ126" s="98"/>
      <c r="BK126" s="31"/>
      <c r="BL126" s="98"/>
      <c r="BM126" s="31"/>
      <c r="BN126" s="98"/>
      <c r="BO126" s="31"/>
      <c r="BP126" s="98"/>
      <c r="BQ126" s="31"/>
      <c r="BR126" s="98"/>
      <c r="BS126" s="31"/>
      <c r="BT126" s="98"/>
      <c r="BU126" s="31"/>
      <c r="BV126" s="98"/>
      <c r="BW126" s="31"/>
      <c r="BX126" s="98"/>
      <c r="BY126" s="31"/>
      <c r="BZ126" s="98"/>
      <c r="CA126" s="31"/>
      <c r="CB126" s="98"/>
      <c r="CC126" s="31"/>
      <c r="CD126" s="98"/>
      <c r="CE126" s="31"/>
      <c r="CF126" s="98"/>
      <c r="CG126" s="31"/>
      <c r="CH126" s="146"/>
    </row>
    <row r="127" spans="2:86" x14ac:dyDescent="0.25">
      <c r="B127">
        <v>15</v>
      </c>
      <c r="E127" s="145"/>
      <c r="F127" s="125"/>
      <c r="G127" s="31"/>
      <c r="H127" s="98"/>
      <c r="I127" s="31"/>
      <c r="J127" s="98"/>
      <c r="K127" s="31"/>
      <c r="L127" s="98"/>
      <c r="M127" s="31"/>
      <c r="N127" s="98"/>
      <c r="O127" s="97"/>
      <c r="P127" s="98"/>
      <c r="Q127" s="31"/>
      <c r="R127" s="98"/>
      <c r="S127" s="31"/>
      <c r="T127" s="98"/>
      <c r="U127" s="31"/>
      <c r="V127" s="98"/>
      <c r="W127" s="31"/>
      <c r="X127" s="98"/>
      <c r="Y127" s="31"/>
      <c r="Z127" s="98"/>
      <c r="AA127" s="31"/>
      <c r="AB127" s="98"/>
      <c r="AC127" s="31"/>
      <c r="AD127" s="98"/>
      <c r="AE127" s="31"/>
      <c r="AF127" s="31"/>
      <c r="AG127" s="97"/>
      <c r="AH127" s="98"/>
      <c r="AI127" s="31"/>
      <c r="AJ127" s="98"/>
      <c r="AK127" s="31"/>
      <c r="AL127" s="98"/>
      <c r="AM127" s="31"/>
      <c r="AN127" s="98"/>
      <c r="AO127" s="31"/>
      <c r="AP127" s="98"/>
      <c r="AQ127" s="31"/>
      <c r="AR127" s="98"/>
      <c r="AS127" s="31"/>
      <c r="AT127" s="98"/>
      <c r="AU127" s="31"/>
      <c r="AV127" s="98"/>
      <c r="AW127" s="31"/>
      <c r="AX127" s="98"/>
      <c r="AY127" s="31"/>
      <c r="AZ127" s="98"/>
      <c r="BA127" s="31"/>
      <c r="BB127" s="98"/>
      <c r="BC127" s="97"/>
      <c r="BD127" s="98"/>
      <c r="BE127" s="31"/>
      <c r="BF127" s="98"/>
      <c r="BG127" s="31"/>
      <c r="BH127" s="98"/>
      <c r="BI127" s="31"/>
      <c r="BJ127" s="98"/>
      <c r="BK127" s="31"/>
      <c r="BL127" s="98"/>
      <c r="BM127" s="31"/>
      <c r="BN127" s="98"/>
      <c r="BO127" s="31"/>
      <c r="BP127" s="98"/>
      <c r="BQ127" s="31"/>
      <c r="BR127" s="98"/>
      <c r="BS127" s="31"/>
      <c r="BT127" s="98"/>
      <c r="BU127" s="31"/>
      <c r="BV127" s="98"/>
      <c r="BW127" s="31"/>
      <c r="BX127" s="98"/>
      <c r="BY127" s="31"/>
      <c r="BZ127" s="98"/>
      <c r="CA127" s="31"/>
      <c r="CB127" s="98"/>
      <c r="CC127" s="31"/>
      <c r="CD127" s="98"/>
      <c r="CE127" s="31"/>
      <c r="CF127" s="98"/>
      <c r="CG127" s="31"/>
      <c r="CH127" s="146"/>
    </row>
    <row r="128" spans="2:86" ht="13.8" thickBot="1" x14ac:dyDescent="0.3">
      <c r="B128">
        <v>16</v>
      </c>
      <c r="E128" s="150"/>
      <c r="F128" s="121"/>
      <c r="G128" s="122"/>
      <c r="H128" s="121"/>
      <c r="I128" s="122"/>
      <c r="J128" s="121"/>
      <c r="K128" s="122"/>
      <c r="L128" s="121"/>
      <c r="M128" s="122"/>
      <c r="N128" s="121"/>
      <c r="O128" s="120"/>
      <c r="P128" s="121"/>
      <c r="Q128" s="122"/>
      <c r="R128" s="121"/>
      <c r="S128" s="122"/>
      <c r="T128" s="121"/>
      <c r="U128" s="122"/>
      <c r="V128" s="121"/>
      <c r="W128" s="122"/>
      <c r="X128" s="121"/>
      <c r="Y128" s="122"/>
      <c r="Z128" s="121"/>
      <c r="AA128" s="122"/>
      <c r="AB128" s="121"/>
      <c r="AC128" s="122"/>
      <c r="AD128" s="121"/>
      <c r="AE128" s="122"/>
      <c r="AF128" s="122"/>
      <c r="AG128" s="120"/>
      <c r="AH128" s="121"/>
      <c r="AI128" s="122"/>
      <c r="AJ128" s="121"/>
      <c r="AK128" s="122"/>
      <c r="AL128" s="121"/>
      <c r="AM128" s="122"/>
      <c r="AN128" s="121"/>
      <c r="AO128" s="122"/>
      <c r="AP128" s="121"/>
      <c r="AQ128" s="122"/>
      <c r="AR128" s="121"/>
      <c r="AS128" s="122"/>
      <c r="AT128" s="121"/>
      <c r="AU128" s="122"/>
      <c r="AV128" s="121"/>
      <c r="AW128" s="122"/>
      <c r="AX128" s="121"/>
      <c r="AY128" s="122"/>
      <c r="AZ128" s="121"/>
      <c r="BA128" s="122"/>
      <c r="BB128" s="121"/>
      <c r="BC128" s="120"/>
      <c r="BD128" s="121"/>
      <c r="BE128" s="122"/>
      <c r="BF128" s="121"/>
      <c r="BG128" s="122"/>
      <c r="BH128" s="121"/>
      <c r="BI128" s="122"/>
      <c r="BJ128" s="121"/>
      <c r="BK128" s="122"/>
      <c r="BL128" s="121"/>
      <c r="BM128" s="122"/>
      <c r="BN128" s="121"/>
      <c r="BO128" s="122"/>
      <c r="BP128" s="121"/>
      <c r="BQ128" s="122"/>
      <c r="BR128" s="121"/>
      <c r="BS128" s="122"/>
      <c r="BT128" s="121"/>
      <c r="BU128" s="122"/>
      <c r="BV128" s="121"/>
      <c r="BW128" s="122"/>
      <c r="BX128" s="121"/>
      <c r="BY128" s="122"/>
      <c r="BZ128" s="121"/>
      <c r="CA128" s="122"/>
      <c r="CB128" s="121"/>
      <c r="CC128" s="122"/>
      <c r="CD128" s="121"/>
      <c r="CE128" s="122"/>
      <c r="CF128" s="121"/>
      <c r="CG128" s="122"/>
      <c r="CH128" s="151"/>
    </row>
    <row r="129" spans="2:86" ht="13.8" thickTop="1" x14ac:dyDescent="0.25">
      <c r="B129">
        <v>17</v>
      </c>
      <c r="C129">
        <f>IF(AND(B105&gt;B104,B106&lt;B104),3,0)</f>
        <v>0</v>
      </c>
      <c r="E129" s="141"/>
      <c r="F129" s="123"/>
      <c r="G129" s="127"/>
      <c r="H129" s="123"/>
      <c r="I129" s="127"/>
      <c r="J129" s="123"/>
      <c r="K129" s="127"/>
      <c r="L129" s="123"/>
      <c r="M129" s="127"/>
      <c r="N129" s="123"/>
      <c r="O129" s="127"/>
      <c r="P129" s="123"/>
      <c r="Q129" s="127"/>
      <c r="R129" s="123"/>
      <c r="S129" s="127"/>
      <c r="T129" s="123"/>
      <c r="U129" s="127"/>
      <c r="V129" s="123"/>
      <c r="W129" s="127"/>
      <c r="X129" s="123"/>
      <c r="Y129" s="127"/>
      <c r="Z129" s="123"/>
      <c r="AA129" s="127"/>
      <c r="AB129" s="123"/>
      <c r="AC129" s="127"/>
      <c r="AD129" s="123"/>
      <c r="AE129" s="127"/>
      <c r="AF129" s="123"/>
      <c r="AG129" s="127"/>
      <c r="AH129" s="123"/>
      <c r="AI129" s="127"/>
      <c r="AJ129" s="123"/>
      <c r="AK129" s="127"/>
      <c r="AL129" s="123"/>
      <c r="AM129" s="127"/>
      <c r="AN129" s="123"/>
      <c r="AO129" s="127"/>
      <c r="AP129" s="123"/>
      <c r="AQ129" s="127"/>
      <c r="AR129" s="123"/>
      <c r="AS129" s="127"/>
      <c r="AT129" s="123"/>
      <c r="AU129" s="127"/>
      <c r="AV129" s="123"/>
      <c r="AW129" s="127"/>
      <c r="AX129" s="123"/>
      <c r="AY129" s="127"/>
      <c r="AZ129" s="123"/>
      <c r="BA129" s="127"/>
      <c r="BB129" s="128" t="s">
        <v>63</v>
      </c>
      <c r="BC129" s="97"/>
      <c r="BD129" s="98"/>
      <c r="BE129" s="31"/>
      <c r="BF129" s="98"/>
      <c r="BG129" s="127"/>
      <c r="BH129" s="123"/>
      <c r="BI129" s="127"/>
      <c r="BJ129" s="123"/>
      <c r="BK129" s="127"/>
      <c r="BL129" s="123"/>
      <c r="BM129" s="127"/>
      <c r="BN129" s="123"/>
      <c r="BO129" s="127"/>
      <c r="BP129" s="123"/>
      <c r="BQ129" s="127"/>
      <c r="BR129" s="123"/>
      <c r="BS129" s="127"/>
      <c r="BT129" s="123"/>
      <c r="BU129" s="127"/>
      <c r="BV129" s="123"/>
      <c r="BW129" s="127"/>
      <c r="BX129" s="123"/>
      <c r="BY129" s="127"/>
      <c r="BZ129" s="123"/>
      <c r="CA129" s="127"/>
      <c r="CB129" s="123"/>
      <c r="CC129" s="127"/>
      <c r="CD129" s="123"/>
      <c r="CE129" s="127"/>
      <c r="CF129" s="123"/>
      <c r="CG129" s="127"/>
      <c r="CH129" s="144"/>
    </row>
    <row r="130" spans="2:86" x14ac:dyDescent="0.25">
      <c r="B130">
        <v>18</v>
      </c>
      <c r="E130" s="145"/>
      <c r="F130" s="98"/>
      <c r="G130" s="31"/>
      <c r="H130" s="98"/>
      <c r="I130" s="31"/>
      <c r="J130" s="98"/>
      <c r="K130" s="31"/>
      <c r="L130" s="98"/>
      <c r="M130" s="31"/>
      <c r="N130" s="98"/>
      <c r="O130" s="31"/>
      <c r="P130" s="98"/>
      <c r="Q130" s="31"/>
      <c r="R130" s="98"/>
      <c r="S130" s="31"/>
      <c r="T130" s="98"/>
      <c r="U130" s="31"/>
      <c r="V130" s="98"/>
      <c r="W130" s="31"/>
      <c r="X130" s="98"/>
      <c r="Y130" s="31"/>
      <c r="Z130" s="98"/>
      <c r="AA130" s="31"/>
      <c r="AB130" s="98"/>
      <c r="AC130" s="31"/>
      <c r="AD130" s="98"/>
      <c r="AE130" s="31"/>
      <c r="AF130" s="98"/>
      <c r="AG130" s="31"/>
      <c r="AH130" s="98"/>
      <c r="AI130" s="31"/>
      <c r="AJ130" s="98"/>
      <c r="AK130" s="31"/>
      <c r="AL130" s="98"/>
      <c r="AM130" s="31"/>
      <c r="AN130" s="98"/>
      <c r="AO130" s="31"/>
      <c r="AP130" s="98"/>
      <c r="AQ130" s="31"/>
      <c r="AR130" s="98"/>
      <c r="AS130" s="99" t="s">
        <v>59</v>
      </c>
      <c r="AT130" s="98"/>
      <c r="AU130" s="31"/>
      <c r="AV130" s="98"/>
      <c r="AW130" s="31"/>
      <c r="AX130" s="101" t="s">
        <v>63</v>
      </c>
      <c r="AY130" s="31"/>
      <c r="AZ130" s="101" t="s">
        <v>63</v>
      </c>
      <c r="BA130" s="31"/>
      <c r="BB130" s="101" t="s">
        <v>63</v>
      </c>
      <c r="BC130" s="97"/>
      <c r="BD130" s="98"/>
      <c r="BE130" s="31"/>
      <c r="BF130" s="98"/>
      <c r="BG130" s="31"/>
      <c r="BH130" s="98"/>
      <c r="BI130" s="31"/>
      <c r="BJ130" s="98"/>
      <c r="BK130" s="31"/>
      <c r="BL130" s="98"/>
      <c r="BM130" s="31"/>
      <c r="BN130" s="98"/>
      <c r="BO130" s="31"/>
      <c r="BP130" s="101" t="s">
        <v>63</v>
      </c>
      <c r="BQ130" s="99" t="s">
        <v>59</v>
      </c>
      <c r="BR130" s="98"/>
      <c r="BS130" s="31"/>
      <c r="BT130" s="98"/>
      <c r="BU130" s="31"/>
      <c r="BV130" s="98"/>
      <c r="BW130" s="31"/>
      <c r="BX130" s="98"/>
      <c r="BY130" s="31"/>
      <c r="BZ130" s="98"/>
      <c r="CA130" s="31"/>
      <c r="CB130" s="98"/>
      <c r="CC130" s="31"/>
      <c r="CD130" s="98"/>
      <c r="CE130" s="31"/>
      <c r="CF130" s="98"/>
      <c r="CG130" s="31"/>
      <c r="CH130" s="146"/>
    </row>
    <row r="131" spans="2:86" x14ac:dyDescent="0.25">
      <c r="B131">
        <v>19</v>
      </c>
      <c r="E131" s="145"/>
      <c r="F131" s="98"/>
      <c r="G131" s="31"/>
      <c r="H131" s="98"/>
      <c r="I131" s="31"/>
      <c r="J131" s="98"/>
      <c r="K131" s="31"/>
      <c r="L131" s="98"/>
      <c r="M131" s="99" t="s">
        <v>59</v>
      </c>
      <c r="N131" s="98"/>
      <c r="O131" s="31"/>
      <c r="P131" s="98"/>
      <c r="Q131" s="31"/>
      <c r="R131" s="101" t="s">
        <v>63</v>
      </c>
      <c r="S131" s="31"/>
      <c r="T131" s="98"/>
      <c r="U131" s="31"/>
      <c r="V131" s="98"/>
      <c r="W131" s="99" t="s">
        <v>59</v>
      </c>
      <c r="X131" s="98"/>
      <c r="Y131" s="31"/>
      <c r="Z131" s="98"/>
      <c r="AA131" s="31"/>
      <c r="AB131" s="101" t="s">
        <v>63</v>
      </c>
      <c r="AC131" s="31"/>
      <c r="AD131" s="98"/>
      <c r="AE131" s="31"/>
      <c r="AF131" s="98"/>
      <c r="AG131" s="31"/>
      <c r="AH131" s="98"/>
      <c r="AI131" s="31"/>
      <c r="AJ131" s="98"/>
      <c r="AK131" s="31"/>
      <c r="AL131" s="98"/>
      <c r="AM131" s="99" t="s">
        <v>59</v>
      </c>
      <c r="AN131" s="98"/>
      <c r="AO131" s="31"/>
      <c r="AP131" s="98"/>
      <c r="AQ131" s="31"/>
      <c r="AR131" s="101" t="s">
        <v>63</v>
      </c>
      <c r="AS131" s="99" t="s">
        <v>59</v>
      </c>
      <c r="AT131" s="101" t="s">
        <v>63</v>
      </c>
      <c r="AU131" s="99" t="s">
        <v>59</v>
      </c>
      <c r="AV131" s="101" t="s">
        <v>63</v>
      </c>
      <c r="AW131" s="99" t="s">
        <v>59</v>
      </c>
      <c r="AX131" s="101" t="s">
        <v>63</v>
      </c>
      <c r="AY131" s="31" t="s">
        <v>60</v>
      </c>
      <c r="AZ131" s="101" t="s">
        <v>63</v>
      </c>
      <c r="BA131" s="31" t="s">
        <v>63</v>
      </c>
      <c r="BB131" s="98" t="s">
        <v>63</v>
      </c>
      <c r="BC131" s="100" t="s">
        <v>59</v>
      </c>
      <c r="BD131" s="98"/>
      <c r="BE131" s="99" t="s">
        <v>59</v>
      </c>
      <c r="BF131" s="98"/>
      <c r="BG131" s="31"/>
      <c r="BH131" s="98"/>
      <c r="BI131" s="99" t="s">
        <v>59</v>
      </c>
      <c r="BJ131" s="98"/>
      <c r="BK131" s="99" t="s">
        <v>59</v>
      </c>
      <c r="BL131" s="98"/>
      <c r="BM131" s="99" t="s">
        <v>59</v>
      </c>
      <c r="BN131" s="101" t="s">
        <v>63</v>
      </c>
      <c r="BO131" s="99" t="s">
        <v>59</v>
      </c>
      <c r="BP131" s="101" t="s">
        <v>63</v>
      </c>
      <c r="BQ131" s="99" t="s">
        <v>59</v>
      </c>
      <c r="BR131" s="98"/>
      <c r="BS131" s="90"/>
      <c r="BT131" s="98"/>
      <c r="BU131" s="90"/>
      <c r="BV131" s="98"/>
      <c r="BW131" s="90"/>
      <c r="BX131" s="98"/>
      <c r="BY131" s="90"/>
      <c r="BZ131" s="98"/>
      <c r="CA131" s="90"/>
      <c r="CB131" s="98"/>
      <c r="CC131" s="90"/>
      <c r="CD131" s="98"/>
      <c r="CE131" s="90"/>
      <c r="CF131" s="98"/>
      <c r="CG131" s="90"/>
      <c r="CH131" s="146"/>
    </row>
    <row r="132" spans="2:86" ht="13.8" thickBot="1" x14ac:dyDescent="0.3">
      <c r="B132">
        <v>20</v>
      </c>
      <c r="E132" s="152" t="s">
        <v>59</v>
      </c>
      <c r="F132" s="111"/>
      <c r="G132" s="129" t="s">
        <v>59</v>
      </c>
      <c r="H132" s="111"/>
      <c r="I132" s="116"/>
      <c r="J132" s="111"/>
      <c r="K132" s="124" t="s">
        <v>59</v>
      </c>
      <c r="L132" s="111"/>
      <c r="M132" s="124" t="s">
        <v>59</v>
      </c>
      <c r="N132" s="115" t="s">
        <v>63</v>
      </c>
      <c r="O132" s="124" t="s">
        <v>59</v>
      </c>
      <c r="P132" s="115" t="s">
        <v>63</v>
      </c>
      <c r="Q132" s="124" t="s">
        <v>59</v>
      </c>
      <c r="R132" s="115" t="s">
        <v>63</v>
      </c>
      <c r="S132" s="116"/>
      <c r="T132" s="111"/>
      <c r="U132" s="116"/>
      <c r="V132" s="111"/>
      <c r="W132" s="124" t="s">
        <v>59</v>
      </c>
      <c r="X132" s="115" t="s">
        <v>63</v>
      </c>
      <c r="Y132" s="124" t="s">
        <v>59</v>
      </c>
      <c r="Z132" s="115" t="s">
        <v>63</v>
      </c>
      <c r="AA132" s="124" t="s">
        <v>59</v>
      </c>
      <c r="AB132" s="115" t="s">
        <v>63</v>
      </c>
      <c r="AC132" s="116"/>
      <c r="AD132" s="111"/>
      <c r="AE132" s="116"/>
      <c r="AF132" s="111"/>
      <c r="AG132" s="116"/>
      <c r="AH132" s="111"/>
      <c r="AI132" s="116"/>
      <c r="AJ132" s="111"/>
      <c r="AK132" s="116"/>
      <c r="AL132" s="111"/>
      <c r="AM132" s="124" t="s">
        <v>59</v>
      </c>
      <c r="AN132" s="115" t="s">
        <v>63</v>
      </c>
      <c r="AO132" s="124" t="s">
        <v>59</v>
      </c>
      <c r="AP132" s="115" t="s">
        <v>63</v>
      </c>
      <c r="AQ132" s="124" t="s">
        <v>59</v>
      </c>
      <c r="AR132" s="115" t="s">
        <v>63</v>
      </c>
      <c r="AS132" s="124"/>
      <c r="AT132" s="111" t="s">
        <v>63</v>
      </c>
      <c r="AU132" s="124"/>
      <c r="AV132" s="111" t="s">
        <v>63</v>
      </c>
      <c r="AW132" s="124"/>
      <c r="AX132" s="111" t="s">
        <v>63</v>
      </c>
      <c r="AY132" s="124"/>
      <c r="AZ132" s="111" t="s">
        <v>63</v>
      </c>
      <c r="BA132" s="124"/>
      <c r="BB132" s="111" t="s">
        <v>63</v>
      </c>
      <c r="BC132" s="112" t="s">
        <v>59</v>
      </c>
      <c r="BD132" s="111"/>
      <c r="BE132" s="124" t="s">
        <v>59</v>
      </c>
      <c r="BF132" s="111"/>
      <c r="BG132" s="124" t="s">
        <v>59</v>
      </c>
      <c r="BH132" s="111"/>
      <c r="BI132" s="124" t="s">
        <v>59</v>
      </c>
      <c r="BJ132" s="111"/>
      <c r="BK132" s="124" t="s">
        <v>59</v>
      </c>
      <c r="BL132" s="115" t="s">
        <v>63</v>
      </c>
      <c r="BM132" s="124" t="s">
        <v>59</v>
      </c>
      <c r="BN132" s="115" t="s">
        <v>63</v>
      </c>
      <c r="BO132" s="124" t="s">
        <v>59</v>
      </c>
      <c r="BP132" s="115" t="s">
        <v>63</v>
      </c>
      <c r="BQ132" s="124" t="s">
        <v>59</v>
      </c>
      <c r="BR132" s="111"/>
      <c r="BS132" s="130"/>
      <c r="BT132" s="111"/>
      <c r="BU132" s="130"/>
      <c r="BV132" s="111"/>
      <c r="BW132" s="130"/>
      <c r="BX132" s="111"/>
      <c r="BY132" s="130"/>
      <c r="BZ132" s="111"/>
      <c r="CA132" s="130"/>
      <c r="CB132" s="111"/>
      <c r="CC132" s="130"/>
      <c r="CD132" s="111"/>
      <c r="CE132" s="130"/>
      <c r="CF132" s="111"/>
      <c r="CG132" s="130"/>
      <c r="CH132" s="148"/>
    </row>
    <row r="133" spans="2:86" x14ac:dyDescent="0.25">
      <c r="B133">
        <v>21</v>
      </c>
      <c r="E133" s="149" t="s">
        <v>59</v>
      </c>
      <c r="F133" s="98"/>
      <c r="G133" s="99" t="s">
        <v>59</v>
      </c>
      <c r="H133" s="101" t="s">
        <v>63</v>
      </c>
      <c r="I133" s="31"/>
      <c r="J133" s="98"/>
      <c r="K133" s="99" t="s">
        <v>59</v>
      </c>
      <c r="L133" s="98" t="s">
        <v>60</v>
      </c>
      <c r="M133" s="99" t="s">
        <v>59</v>
      </c>
      <c r="N133" s="101" t="s">
        <v>63</v>
      </c>
      <c r="O133" s="99" t="s">
        <v>59</v>
      </c>
      <c r="P133" s="101" t="s">
        <v>63</v>
      </c>
      <c r="Q133" s="99" t="s">
        <v>59</v>
      </c>
      <c r="R133" s="101" t="s">
        <v>63</v>
      </c>
      <c r="S133" s="31"/>
      <c r="T133" s="98"/>
      <c r="U133" s="31"/>
      <c r="V133" s="98"/>
      <c r="W133" s="99"/>
      <c r="X133" s="98" t="s">
        <v>63</v>
      </c>
      <c r="Y133" s="99"/>
      <c r="Z133" s="98" t="s">
        <v>63</v>
      </c>
      <c r="AA133" s="99"/>
      <c r="AB133" s="98" t="s">
        <v>63</v>
      </c>
      <c r="AC133" s="31"/>
      <c r="AD133" s="98"/>
      <c r="AE133" s="31"/>
      <c r="AF133" s="98"/>
      <c r="AG133" s="31"/>
      <c r="AH133" s="98"/>
      <c r="AI133" s="31"/>
      <c r="AJ133" s="98"/>
      <c r="AK133" s="31"/>
      <c r="AL133" s="98"/>
      <c r="AM133" s="99" t="s">
        <v>59</v>
      </c>
      <c r="AN133" s="101" t="s">
        <v>63</v>
      </c>
      <c r="AO133" s="99" t="s">
        <v>59</v>
      </c>
      <c r="AP133" s="101" t="s">
        <v>63</v>
      </c>
      <c r="AQ133" s="99" t="s">
        <v>59</v>
      </c>
      <c r="AR133" s="101" t="s">
        <v>63</v>
      </c>
      <c r="AS133" s="99"/>
      <c r="AT133" s="98" t="s">
        <v>63</v>
      </c>
      <c r="AU133" s="99"/>
      <c r="AV133" s="98" t="s">
        <v>63</v>
      </c>
      <c r="AW133" s="99"/>
      <c r="AX133" s="98" t="s">
        <v>63</v>
      </c>
      <c r="AY133" s="99"/>
      <c r="AZ133" s="98" t="s">
        <v>63</v>
      </c>
      <c r="BA133" s="99"/>
      <c r="BB133" s="98" t="s">
        <v>63</v>
      </c>
      <c r="BC133" s="100" t="s">
        <v>59</v>
      </c>
      <c r="BD133" s="98"/>
      <c r="BE133" s="99" t="s">
        <v>59</v>
      </c>
      <c r="BF133" s="98"/>
      <c r="BG133" s="99" t="s">
        <v>59</v>
      </c>
      <c r="BH133" s="101" t="s">
        <v>63</v>
      </c>
      <c r="BI133" s="99" t="s">
        <v>59</v>
      </c>
      <c r="BJ133" s="101" t="s">
        <v>63</v>
      </c>
      <c r="BK133" s="99" t="s">
        <v>59</v>
      </c>
      <c r="BL133" s="101" t="s">
        <v>63</v>
      </c>
      <c r="BM133" s="99" t="s">
        <v>59</v>
      </c>
      <c r="BN133" s="101" t="s">
        <v>63</v>
      </c>
      <c r="BO133" s="99" t="s">
        <v>59</v>
      </c>
      <c r="BP133" s="101" t="s">
        <v>63</v>
      </c>
      <c r="BQ133" s="99" t="s">
        <v>59</v>
      </c>
      <c r="BR133" s="98"/>
      <c r="BS133" s="90"/>
      <c r="BT133" s="98"/>
      <c r="BU133" s="90"/>
      <c r="BV133" s="98"/>
      <c r="BW133" s="90"/>
      <c r="BX133" s="98"/>
      <c r="BY133" s="90"/>
      <c r="BZ133" s="98"/>
      <c r="CA133" s="90"/>
      <c r="CB133" s="98"/>
      <c r="CC133" s="90"/>
      <c r="CD133" s="98"/>
      <c r="CE133" s="90"/>
      <c r="CF133" s="98"/>
      <c r="CG133" s="90"/>
      <c r="CH133" s="146"/>
    </row>
    <row r="134" spans="2:86" x14ac:dyDescent="0.25">
      <c r="B134">
        <v>22</v>
      </c>
      <c r="E134" s="145" t="s">
        <v>59</v>
      </c>
      <c r="F134" s="156" t="s">
        <v>59</v>
      </c>
      <c r="G134" s="31" t="s">
        <v>59</v>
      </c>
      <c r="H134" s="101"/>
      <c r="I134" s="31"/>
      <c r="J134" s="98"/>
      <c r="K134" s="31" t="s">
        <v>59</v>
      </c>
      <c r="L134" s="101"/>
      <c r="M134" s="99" t="s">
        <v>59</v>
      </c>
      <c r="N134" s="101" t="s">
        <v>63</v>
      </c>
      <c r="O134" s="31" t="s">
        <v>59</v>
      </c>
      <c r="P134" s="101"/>
      <c r="Q134" s="31" t="s">
        <v>59</v>
      </c>
      <c r="R134" s="101"/>
      <c r="S134" s="31"/>
      <c r="T134" s="98"/>
      <c r="U134" s="31"/>
      <c r="V134" s="98"/>
      <c r="W134" s="99"/>
      <c r="X134" s="98" t="s">
        <v>63</v>
      </c>
      <c r="Y134" s="31"/>
      <c r="Z134" s="98"/>
      <c r="AA134" s="31"/>
      <c r="AB134" s="98"/>
      <c r="AC134" s="31"/>
      <c r="AD134" s="98"/>
      <c r="AE134" s="31"/>
      <c r="AF134" s="98"/>
      <c r="AG134" s="31"/>
      <c r="AH134" s="98"/>
      <c r="AI134" s="31"/>
      <c r="AJ134" s="98"/>
      <c r="AK134" s="31"/>
      <c r="AL134" s="98"/>
      <c r="AM134" s="99" t="s">
        <v>59</v>
      </c>
      <c r="AN134" s="101" t="s">
        <v>63</v>
      </c>
      <c r="AO134" s="31"/>
      <c r="AP134" s="98"/>
      <c r="AQ134" s="31"/>
      <c r="AR134" s="98"/>
      <c r="AS134" s="99"/>
      <c r="AT134" s="98" t="s">
        <v>63</v>
      </c>
      <c r="AU134" s="99"/>
      <c r="AV134" s="98" t="s">
        <v>63</v>
      </c>
      <c r="AW134" s="99"/>
      <c r="AX134" s="98" t="s">
        <v>63</v>
      </c>
      <c r="AY134" s="31"/>
      <c r="AZ134" s="98"/>
      <c r="BA134" s="31"/>
      <c r="BB134" s="98"/>
      <c r="BC134" s="100" t="s">
        <v>59</v>
      </c>
      <c r="BD134" s="101" t="s">
        <v>63</v>
      </c>
      <c r="BE134" s="99" t="s">
        <v>59</v>
      </c>
      <c r="BF134" s="101" t="s">
        <v>63</v>
      </c>
      <c r="BG134" s="31"/>
      <c r="BH134" s="98"/>
      <c r="BI134" s="99"/>
      <c r="BJ134" s="98" t="s">
        <v>63</v>
      </c>
      <c r="BK134" s="99"/>
      <c r="BL134" s="98" t="s">
        <v>63</v>
      </c>
      <c r="BM134" s="99"/>
      <c r="BN134" s="98" t="s">
        <v>63</v>
      </c>
      <c r="BO134" s="99"/>
      <c r="BP134" s="98" t="s">
        <v>63</v>
      </c>
      <c r="BQ134" s="99" t="s">
        <v>59</v>
      </c>
      <c r="BR134" s="101" t="s">
        <v>63</v>
      </c>
      <c r="BS134" s="90"/>
      <c r="BT134" s="98"/>
      <c r="BU134" s="90"/>
      <c r="BV134" s="98"/>
      <c r="BW134" s="90"/>
      <c r="BX134" s="98"/>
      <c r="BY134" s="90"/>
      <c r="BZ134" s="98"/>
      <c r="CA134" s="90"/>
      <c r="CB134" s="98"/>
      <c r="CC134" s="90"/>
      <c r="CD134" s="98"/>
      <c r="CE134" s="90"/>
      <c r="CF134" s="98"/>
      <c r="CG134" s="90"/>
      <c r="CH134" s="146"/>
    </row>
    <row r="135" spans="2:86" x14ac:dyDescent="0.25">
      <c r="B135">
        <v>23</v>
      </c>
      <c r="E135" s="145" t="s">
        <v>59</v>
      </c>
      <c r="F135" s="104"/>
      <c r="G135" s="31"/>
      <c r="H135" s="98"/>
      <c r="I135" s="31"/>
      <c r="J135" s="98"/>
      <c r="K135" s="31" t="s">
        <v>59</v>
      </c>
      <c r="L135" s="101"/>
      <c r="M135" s="31" t="s">
        <v>59</v>
      </c>
      <c r="N135" s="101"/>
      <c r="O135" s="31"/>
      <c r="P135" s="98"/>
      <c r="Q135" s="31"/>
      <c r="R135" s="98"/>
      <c r="S135" s="31"/>
      <c r="T135" s="98"/>
      <c r="U135" s="31"/>
      <c r="V135" s="98"/>
      <c r="W135" s="31"/>
      <c r="X135" s="98"/>
      <c r="Y135" s="31"/>
      <c r="Z135" s="98"/>
      <c r="AA135" s="31"/>
      <c r="AB135" s="98"/>
      <c r="AC135" s="31"/>
      <c r="AD135" s="98"/>
      <c r="AE135" s="31"/>
      <c r="AF135" s="98"/>
      <c r="AG135" s="31"/>
      <c r="AH135" s="98"/>
      <c r="AI135" s="31"/>
      <c r="AJ135" s="98"/>
      <c r="AK135" s="31"/>
      <c r="AL135" s="98"/>
      <c r="AM135" s="31"/>
      <c r="AN135" s="98"/>
      <c r="AO135" s="31"/>
      <c r="AP135" s="98"/>
      <c r="AQ135" s="31"/>
      <c r="AR135" s="98"/>
      <c r="AS135" s="99"/>
      <c r="AT135" s="98" t="s">
        <v>63</v>
      </c>
      <c r="AU135" s="31"/>
      <c r="AV135" s="98"/>
      <c r="AW135" s="31"/>
      <c r="AX135" s="98"/>
      <c r="AY135" s="31"/>
      <c r="AZ135" s="98"/>
      <c r="BA135" s="31"/>
      <c r="BB135" s="98"/>
      <c r="BC135" s="97" t="s">
        <v>59</v>
      </c>
      <c r="BD135" s="101"/>
      <c r="BE135" s="31"/>
      <c r="BF135" s="98"/>
      <c r="BG135" s="31"/>
      <c r="BH135" s="98"/>
      <c r="BI135" s="31"/>
      <c r="BJ135" s="98"/>
      <c r="BK135" s="31"/>
      <c r="BL135" s="98"/>
      <c r="BM135" s="31"/>
      <c r="BN135" s="98"/>
      <c r="BO135" s="31"/>
      <c r="BP135" s="98"/>
      <c r="BQ135" s="99"/>
      <c r="BR135" s="98" t="s">
        <v>63</v>
      </c>
      <c r="BS135" s="31"/>
      <c r="BT135" s="98"/>
      <c r="BU135" s="31"/>
      <c r="BV135" s="98"/>
      <c r="BW135" s="31"/>
      <c r="BX135" s="98"/>
      <c r="BY135" s="31"/>
      <c r="BZ135" s="98"/>
      <c r="CA135" s="31"/>
      <c r="CB135" s="98"/>
      <c r="CC135" s="31"/>
      <c r="CD135" s="98"/>
      <c r="CE135" s="31"/>
      <c r="CF135" s="98"/>
      <c r="CG135" s="31"/>
      <c r="CH135" s="146"/>
    </row>
    <row r="136" spans="2:86" ht="13.8" thickBot="1" x14ac:dyDescent="0.3">
      <c r="B136">
        <v>24</v>
      </c>
      <c r="E136" s="150" t="s">
        <v>59</v>
      </c>
      <c r="F136" s="132"/>
      <c r="G136" s="122"/>
      <c r="H136" s="121"/>
      <c r="I136" s="122"/>
      <c r="J136" s="121"/>
      <c r="K136" s="122"/>
      <c r="L136" s="121"/>
      <c r="M136" s="122"/>
      <c r="N136" s="121"/>
      <c r="O136" s="122"/>
      <c r="P136" s="121"/>
      <c r="Q136" s="122"/>
      <c r="R136" s="121"/>
      <c r="S136" s="122"/>
      <c r="T136" s="121"/>
      <c r="U136" s="122"/>
      <c r="V136" s="121"/>
      <c r="W136" s="122"/>
      <c r="X136" s="121"/>
      <c r="Y136" s="122"/>
      <c r="Z136" s="121"/>
      <c r="AA136" s="122"/>
      <c r="AB136" s="121"/>
      <c r="AC136" s="122"/>
      <c r="AD136" s="121"/>
      <c r="AE136" s="122"/>
      <c r="AF136" s="121"/>
      <c r="AG136" s="122"/>
      <c r="AH136" s="121"/>
      <c r="AI136" s="122"/>
      <c r="AJ136" s="121"/>
      <c r="AK136" s="122"/>
      <c r="AL136" s="121"/>
      <c r="AM136" s="122"/>
      <c r="AN136" s="121"/>
      <c r="AO136" s="122"/>
      <c r="AP136" s="121"/>
      <c r="AQ136" s="122"/>
      <c r="AR136" s="121"/>
      <c r="AS136" s="122"/>
      <c r="AT136" s="121"/>
      <c r="AU136" s="122"/>
      <c r="AV136" s="121"/>
      <c r="AW136" s="122"/>
      <c r="AX136" s="121"/>
      <c r="AY136" s="122"/>
      <c r="AZ136" s="121"/>
      <c r="BA136" s="122"/>
      <c r="BB136" s="121"/>
      <c r="BC136" s="120"/>
      <c r="BD136" s="121"/>
      <c r="BE136" s="122"/>
      <c r="BF136" s="121"/>
      <c r="BG136" s="122"/>
      <c r="BH136" s="121"/>
      <c r="BI136" s="122"/>
      <c r="BJ136" s="121"/>
      <c r="BK136" s="122"/>
      <c r="BL136" s="121"/>
      <c r="BM136" s="122"/>
      <c r="BN136" s="121"/>
      <c r="BO136" s="122"/>
      <c r="BP136" s="121"/>
      <c r="BQ136" s="122"/>
      <c r="BR136" s="121"/>
      <c r="BS136" s="122"/>
      <c r="BT136" s="121"/>
      <c r="BU136" s="122"/>
      <c r="BV136" s="121"/>
      <c r="BW136" s="122"/>
      <c r="BX136" s="121"/>
      <c r="BY136" s="122"/>
      <c r="BZ136" s="121"/>
      <c r="CA136" s="122"/>
      <c r="CB136" s="121"/>
      <c r="CC136" s="122"/>
      <c r="CD136" s="121"/>
      <c r="CE136" s="122"/>
      <c r="CF136" s="121"/>
      <c r="CG136" s="122"/>
      <c r="CH136" s="151"/>
    </row>
    <row r="137" spans="2:86" ht="13.8" thickTop="1" x14ac:dyDescent="0.25">
      <c r="B137">
        <v>25</v>
      </c>
      <c r="C137">
        <f>IF(B105=B104,4,0)</f>
        <v>4</v>
      </c>
      <c r="E137" s="141"/>
      <c r="F137" s="123"/>
      <c r="G137" s="127"/>
      <c r="H137" s="123"/>
      <c r="I137" s="127"/>
      <c r="J137" s="123"/>
      <c r="K137" s="127"/>
      <c r="L137" s="123"/>
      <c r="M137" s="127"/>
      <c r="N137" s="123"/>
      <c r="O137" s="127"/>
      <c r="P137" s="123"/>
      <c r="Q137" s="127"/>
      <c r="R137" s="123"/>
      <c r="S137" s="127"/>
      <c r="T137" s="123"/>
      <c r="U137" s="127"/>
      <c r="V137" s="123"/>
      <c r="W137" s="127"/>
      <c r="X137" s="123"/>
      <c r="Y137" s="127"/>
      <c r="Z137" s="123"/>
      <c r="AA137" s="127"/>
      <c r="AB137" s="123"/>
      <c r="AC137" s="127"/>
      <c r="AD137" s="127"/>
      <c r="AE137" s="127"/>
      <c r="AF137" s="127"/>
      <c r="AG137" s="127"/>
      <c r="AH137" s="127"/>
      <c r="AI137" s="127"/>
      <c r="AJ137" s="127"/>
      <c r="AK137" s="127"/>
      <c r="AL137" s="127"/>
      <c r="AM137" s="127"/>
      <c r="AN137" s="123"/>
      <c r="AO137" s="127"/>
      <c r="AP137" s="123"/>
      <c r="AQ137" s="127"/>
      <c r="AR137" s="123"/>
      <c r="AS137" s="127"/>
      <c r="AT137" s="123"/>
      <c r="AU137" s="127"/>
      <c r="AV137" s="127"/>
      <c r="AW137" s="127"/>
      <c r="AX137" s="123"/>
      <c r="AY137" s="127"/>
      <c r="AZ137" s="123"/>
      <c r="BA137" s="127"/>
      <c r="BB137" s="123"/>
      <c r="BC137" s="97"/>
      <c r="BD137" s="98"/>
      <c r="BE137" s="31"/>
      <c r="BF137" s="98"/>
      <c r="BG137" s="31"/>
      <c r="BH137" s="98"/>
      <c r="BI137" s="31"/>
      <c r="BJ137" s="98"/>
      <c r="BK137" s="31"/>
      <c r="BL137" s="98"/>
      <c r="BM137" s="31"/>
      <c r="BN137" s="98"/>
      <c r="BO137" s="31"/>
      <c r="BP137" s="98"/>
      <c r="BQ137" s="31"/>
      <c r="BR137" s="98"/>
      <c r="BS137" s="31"/>
      <c r="BT137" s="98"/>
      <c r="BU137" s="31"/>
      <c r="BV137" s="98"/>
      <c r="BW137" s="31"/>
      <c r="BX137" s="98"/>
      <c r="BY137" s="31"/>
      <c r="BZ137" s="98"/>
      <c r="CA137" s="31"/>
      <c r="CB137" s="98"/>
      <c r="CC137" s="31"/>
      <c r="CD137" s="98"/>
      <c r="CE137" s="31"/>
      <c r="CF137" s="98"/>
      <c r="CG137" s="31"/>
      <c r="CH137" s="146"/>
    </row>
    <row r="138" spans="2:86" x14ac:dyDescent="0.25">
      <c r="B138">
        <v>26</v>
      </c>
      <c r="E138" s="145"/>
      <c r="F138" s="98"/>
      <c r="G138" s="31"/>
      <c r="H138" s="98"/>
      <c r="I138" s="31"/>
      <c r="J138" s="98"/>
      <c r="K138" s="31"/>
      <c r="L138" s="98"/>
      <c r="M138" s="31"/>
      <c r="N138" s="98"/>
      <c r="O138" s="31"/>
      <c r="P138" s="98"/>
      <c r="Q138" s="31"/>
      <c r="R138" s="98"/>
      <c r="S138" s="31"/>
      <c r="T138" s="98"/>
      <c r="U138" s="31"/>
      <c r="V138" s="98"/>
      <c r="W138" s="31"/>
      <c r="X138" s="98"/>
      <c r="Y138" s="31"/>
      <c r="Z138" s="98"/>
      <c r="AA138" s="31"/>
      <c r="AB138" s="98"/>
      <c r="AC138" s="31"/>
      <c r="AD138" s="31"/>
      <c r="AE138" s="31"/>
      <c r="AF138" s="31"/>
      <c r="AG138" s="31"/>
      <c r="AH138" s="31"/>
      <c r="AI138" s="31"/>
      <c r="AJ138" s="31"/>
      <c r="AK138" s="31"/>
      <c r="AL138" s="31"/>
      <c r="AM138" s="31"/>
      <c r="AN138" s="98"/>
      <c r="AO138" s="31"/>
      <c r="AP138" s="98"/>
      <c r="AQ138" s="31"/>
      <c r="AR138" s="98"/>
      <c r="AS138" s="31"/>
      <c r="AT138" s="98"/>
      <c r="AU138" s="31"/>
      <c r="AV138" s="31"/>
      <c r="AW138" s="31"/>
      <c r="AX138" s="98"/>
      <c r="AY138" s="31"/>
      <c r="AZ138" s="98"/>
      <c r="BA138" s="31"/>
      <c r="BB138" s="98"/>
      <c r="BC138" s="97"/>
      <c r="BD138" s="98"/>
      <c r="BE138" s="31"/>
      <c r="BF138" s="98"/>
      <c r="BG138" s="31"/>
      <c r="BH138" s="98"/>
      <c r="BI138" s="31"/>
      <c r="BJ138" s="98"/>
      <c r="BK138" s="31"/>
      <c r="BL138" s="98"/>
      <c r="BM138" s="31"/>
      <c r="BN138" s="98"/>
      <c r="BO138" s="31"/>
      <c r="BP138" s="98"/>
      <c r="BQ138" s="31"/>
      <c r="BR138" s="98"/>
      <c r="BS138" s="31"/>
      <c r="BT138" s="98"/>
      <c r="BU138" s="31"/>
      <c r="BV138" s="98"/>
      <c r="BW138" s="31"/>
      <c r="BX138" s="98"/>
      <c r="BY138" s="31"/>
      <c r="BZ138" s="98"/>
      <c r="CA138" s="31"/>
      <c r="CB138" s="98"/>
      <c r="CC138" s="31"/>
      <c r="CD138" s="98"/>
      <c r="CE138" s="31"/>
      <c r="CF138" s="98"/>
      <c r="CG138" s="31"/>
      <c r="CH138" s="146"/>
    </row>
    <row r="139" spans="2:86" x14ac:dyDescent="0.25">
      <c r="B139">
        <v>27</v>
      </c>
      <c r="E139" s="145"/>
      <c r="F139" s="98"/>
      <c r="G139" s="31"/>
      <c r="H139" s="98"/>
      <c r="I139" s="31"/>
      <c r="J139" s="98"/>
      <c r="K139" s="31"/>
      <c r="L139" s="98"/>
      <c r="M139" s="31"/>
      <c r="N139" s="98"/>
      <c r="O139" s="31"/>
      <c r="P139" s="98"/>
      <c r="Q139" s="31"/>
      <c r="R139" s="98"/>
      <c r="S139" s="31"/>
      <c r="T139" s="98"/>
      <c r="U139" s="31"/>
      <c r="V139" s="98"/>
      <c r="W139" s="31"/>
      <c r="X139" s="98"/>
      <c r="Y139" s="31"/>
      <c r="Z139" s="98"/>
      <c r="AA139" s="31"/>
      <c r="AB139" s="98"/>
      <c r="AC139" s="31"/>
      <c r="AD139" s="31"/>
      <c r="AE139" s="31"/>
      <c r="AF139" s="31"/>
      <c r="AG139" s="31"/>
      <c r="AH139" s="31"/>
      <c r="AI139" s="31"/>
      <c r="AJ139" s="31"/>
      <c r="AK139" s="31"/>
      <c r="AL139" s="31"/>
      <c r="AM139" s="31"/>
      <c r="AN139" s="98"/>
      <c r="AO139" s="31"/>
      <c r="AP139" s="98"/>
      <c r="AQ139" s="31"/>
      <c r="AR139" s="98"/>
      <c r="AS139" s="31"/>
      <c r="AT139" s="98"/>
      <c r="AU139" s="31"/>
      <c r="AV139" s="31"/>
      <c r="AW139" s="31"/>
      <c r="AX139" s="98"/>
      <c r="AY139" s="31"/>
      <c r="AZ139" s="98"/>
      <c r="BA139" s="31"/>
      <c r="BB139" s="101" t="s">
        <v>63</v>
      </c>
      <c r="BC139" s="97"/>
      <c r="BD139" s="98"/>
      <c r="BE139" s="31"/>
      <c r="BF139" s="98"/>
      <c r="BG139" s="31"/>
      <c r="BH139" s="98"/>
      <c r="BI139" s="31"/>
      <c r="BJ139" s="98"/>
      <c r="BK139" s="31"/>
      <c r="BL139" s="98"/>
      <c r="BM139" s="31"/>
      <c r="BN139" s="98"/>
      <c r="BO139" s="31"/>
      <c r="BP139" s="98"/>
      <c r="BQ139" s="31"/>
      <c r="BR139" s="98"/>
      <c r="BS139" s="31"/>
      <c r="BT139" s="98"/>
      <c r="BU139" s="31"/>
      <c r="BV139" s="98"/>
      <c r="BW139" s="31"/>
      <c r="BX139" s="98"/>
      <c r="BY139" s="31"/>
      <c r="BZ139" s="98"/>
      <c r="CA139" s="31"/>
      <c r="CB139" s="98"/>
      <c r="CC139" s="31"/>
      <c r="CD139" s="98"/>
      <c r="CE139" s="31"/>
      <c r="CF139" s="98"/>
      <c r="CG139" s="31"/>
      <c r="CH139" s="146"/>
    </row>
    <row r="140" spans="2:86" ht="13.8" thickBot="1" x14ac:dyDescent="0.3">
      <c r="B140">
        <v>28</v>
      </c>
      <c r="E140" s="153"/>
      <c r="F140" s="111"/>
      <c r="G140" s="116"/>
      <c r="H140" s="111"/>
      <c r="I140" s="116"/>
      <c r="J140" s="111"/>
      <c r="K140" s="116"/>
      <c r="L140" s="111"/>
      <c r="M140" s="116"/>
      <c r="N140" s="111"/>
      <c r="O140" s="116"/>
      <c r="P140" s="111"/>
      <c r="Q140" s="116"/>
      <c r="R140" s="115" t="s">
        <v>63</v>
      </c>
      <c r="S140" s="116"/>
      <c r="T140" s="111"/>
      <c r="U140" s="116"/>
      <c r="V140" s="111"/>
      <c r="W140" s="116"/>
      <c r="X140" s="111"/>
      <c r="Y140" s="116"/>
      <c r="Z140" s="111"/>
      <c r="AA140" s="116" t="s">
        <v>60</v>
      </c>
      <c r="AB140" s="115" t="s">
        <v>63</v>
      </c>
      <c r="AC140" s="116"/>
      <c r="AD140" s="116"/>
      <c r="AE140" s="116"/>
      <c r="AF140" s="116"/>
      <c r="AG140" s="116"/>
      <c r="AH140" s="116"/>
      <c r="AI140" s="116"/>
      <c r="AJ140" s="116"/>
      <c r="AK140" s="116"/>
      <c r="AL140" s="116"/>
      <c r="AM140" s="116"/>
      <c r="AN140" s="111"/>
      <c r="AO140" s="116"/>
      <c r="AP140" s="111"/>
      <c r="AQ140" s="116"/>
      <c r="AR140" s="115" t="s">
        <v>63</v>
      </c>
      <c r="AS140" s="116"/>
      <c r="AT140" s="111"/>
      <c r="AU140" s="116"/>
      <c r="AV140" s="116"/>
      <c r="AW140" s="116"/>
      <c r="AX140" s="111"/>
      <c r="AY140" s="116"/>
      <c r="AZ140" s="111"/>
      <c r="BA140" s="116" t="s">
        <v>63</v>
      </c>
      <c r="BB140" s="111" t="s">
        <v>63</v>
      </c>
      <c r="BC140" s="110"/>
      <c r="BD140" s="111"/>
      <c r="BE140" s="116"/>
      <c r="BF140" s="111"/>
      <c r="BG140" s="116"/>
      <c r="BH140" s="111"/>
      <c r="BI140" s="116"/>
      <c r="BJ140" s="111"/>
      <c r="BK140" s="116"/>
      <c r="BL140" s="111"/>
      <c r="BM140" s="116"/>
      <c r="BN140" s="111"/>
      <c r="BO140" s="116"/>
      <c r="BP140" s="115" t="s">
        <v>63</v>
      </c>
      <c r="BQ140" s="116"/>
      <c r="BR140" s="111"/>
      <c r="BS140" s="116"/>
      <c r="BT140" s="111"/>
      <c r="BU140" s="116"/>
      <c r="BV140" s="111"/>
      <c r="BW140" s="116"/>
      <c r="BX140" s="111"/>
      <c r="BY140" s="116"/>
      <c r="BZ140" s="111"/>
      <c r="CA140" s="116"/>
      <c r="CB140" s="111"/>
      <c r="CC140" s="116"/>
      <c r="CD140" s="111"/>
      <c r="CE140" s="116"/>
      <c r="CF140" s="111"/>
      <c r="CG140" s="116"/>
      <c r="CH140" s="148"/>
    </row>
    <row r="141" spans="2:86" x14ac:dyDescent="0.25">
      <c r="B141">
        <v>29</v>
      </c>
      <c r="E141" s="149" t="s">
        <v>59</v>
      </c>
      <c r="F141" s="98"/>
      <c r="G141" s="99" t="s">
        <v>59</v>
      </c>
      <c r="H141" s="101" t="s">
        <v>63</v>
      </c>
      <c r="I141" s="31"/>
      <c r="J141" s="98"/>
      <c r="K141" s="99" t="s">
        <v>59</v>
      </c>
      <c r="L141" s="98" t="s">
        <v>60</v>
      </c>
      <c r="M141" s="31"/>
      <c r="N141" s="98"/>
      <c r="O141" s="31"/>
      <c r="P141" s="98"/>
      <c r="Q141" s="99" t="s">
        <v>59</v>
      </c>
      <c r="R141" s="101" t="s">
        <v>63</v>
      </c>
      <c r="S141" s="31"/>
      <c r="T141" s="98"/>
      <c r="U141" s="31"/>
      <c r="V141" s="98"/>
      <c r="W141" s="31"/>
      <c r="X141" s="98"/>
      <c r="Y141" s="31"/>
      <c r="Z141" s="98"/>
      <c r="AA141" s="99"/>
      <c r="AB141" s="98" t="s">
        <v>63</v>
      </c>
      <c r="AC141" s="31"/>
      <c r="AD141" s="31"/>
      <c r="AE141" s="31"/>
      <c r="AF141" s="31"/>
      <c r="AG141" s="31"/>
      <c r="AH141" s="31"/>
      <c r="AI141" s="31"/>
      <c r="AJ141" s="31"/>
      <c r="AK141" s="31"/>
      <c r="AL141" s="31"/>
      <c r="AM141" s="31"/>
      <c r="AN141" s="98"/>
      <c r="AO141" s="99" t="s">
        <v>59</v>
      </c>
      <c r="AP141" s="101" t="s">
        <v>63</v>
      </c>
      <c r="AQ141" s="99" t="s">
        <v>59</v>
      </c>
      <c r="AR141" s="101" t="s">
        <v>63</v>
      </c>
      <c r="AS141" s="31"/>
      <c r="AT141" s="98"/>
      <c r="AU141" s="31"/>
      <c r="AV141" s="31"/>
      <c r="AW141" s="31"/>
      <c r="AX141" s="98"/>
      <c r="AY141" s="31"/>
      <c r="AZ141" s="98"/>
      <c r="BA141" s="99"/>
      <c r="BB141" s="98" t="s">
        <v>63</v>
      </c>
      <c r="BC141" s="100" t="s">
        <v>59</v>
      </c>
      <c r="BD141" s="98"/>
      <c r="BE141" s="99" t="s">
        <v>59</v>
      </c>
      <c r="BF141" s="98"/>
      <c r="BG141" s="31"/>
      <c r="BH141" s="98"/>
      <c r="BI141" s="99" t="s">
        <v>59</v>
      </c>
      <c r="BJ141" s="101" t="s">
        <v>63</v>
      </c>
      <c r="BK141" s="31"/>
      <c r="BL141" s="98"/>
      <c r="BM141" s="31"/>
      <c r="BN141" s="98"/>
      <c r="BO141" s="99" t="s">
        <v>59</v>
      </c>
      <c r="BP141" s="101" t="s">
        <v>63</v>
      </c>
      <c r="BQ141" s="99" t="s">
        <v>59</v>
      </c>
      <c r="BR141" s="98"/>
      <c r="BS141" s="31"/>
      <c r="BT141" s="98"/>
      <c r="BU141" s="31"/>
      <c r="BV141" s="98"/>
      <c r="BW141" s="31"/>
      <c r="BX141" s="98"/>
      <c r="BY141" s="31"/>
      <c r="BZ141" s="98"/>
      <c r="CA141" s="31"/>
      <c r="CB141" s="98"/>
      <c r="CC141" s="31"/>
      <c r="CD141" s="98"/>
      <c r="CE141" s="31"/>
      <c r="CF141" s="98"/>
      <c r="CG141" s="31"/>
      <c r="CH141" s="146"/>
    </row>
    <row r="142" spans="2:86" x14ac:dyDescent="0.25">
      <c r="B142">
        <v>30</v>
      </c>
      <c r="E142" s="145" t="s">
        <v>59</v>
      </c>
      <c r="F142" s="156" t="s">
        <v>59</v>
      </c>
      <c r="G142" s="31" t="s">
        <v>59</v>
      </c>
      <c r="H142" s="101"/>
      <c r="I142" s="31"/>
      <c r="J142" s="98"/>
      <c r="K142" s="31" t="s">
        <v>59</v>
      </c>
      <c r="L142" s="101"/>
      <c r="M142" s="31"/>
      <c r="N142" s="98"/>
      <c r="O142" s="31"/>
      <c r="P142" s="98"/>
      <c r="Q142" s="31" t="s">
        <v>59</v>
      </c>
      <c r="R142" s="101"/>
      <c r="S142" s="31"/>
      <c r="T142" s="98"/>
      <c r="U142" s="31"/>
      <c r="V142" s="98"/>
      <c r="W142" s="31"/>
      <c r="X142" s="98"/>
      <c r="Y142" s="31"/>
      <c r="Z142" s="98"/>
      <c r="AA142" s="31"/>
      <c r="AB142" s="98"/>
      <c r="AC142" s="31"/>
      <c r="AD142" s="31"/>
      <c r="AE142" s="31"/>
      <c r="AF142" s="31"/>
      <c r="AG142" s="31"/>
      <c r="AH142" s="31"/>
      <c r="AI142" s="31"/>
      <c r="AJ142" s="31"/>
      <c r="AK142" s="31"/>
      <c r="AL142" s="31"/>
      <c r="AM142" s="31"/>
      <c r="AN142" s="98"/>
      <c r="AO142" s="99" t="s">
        <v>59</v>
      </c>
      <c r="AP142" s="101" t="s">
        <v>63</v>
      </c>
      <c r="AQ142" s="31"/>
      <c r="AR142" s="98"/>
      <c r="AS142" s="31"/>
      <c r="AT142" s="98"/>
      <c r="AU142" s="31"/>
      <c r="AV142" s="31"/>
      <c r="AW142" s="31"/>
      <c r="AX142" s="98"/>
      <c r="AY142" s="31"/>
      <c r="AZ142" s="98"/>
      <c r="BA142" s="31"/>
      <c r="BB142" s="98"/>
      <c r="BC142" s="100" t="s">
        <v>59</v>
      </c>
      <c r="BD142" s="101" t="s">
        <v>63</v>
      </c>
      <c r="BE142" s="99" t="s">
        <v>59</v>
      </c>
      <c r="BF142" s="101" t="s">
        <v>63</v>
      </c>
      <c r="BG142" s="31"/>
      <c r="BH142" s="98"/>
      <c r="BI142" s="99"/>
      <c r="BJ142" s="98" t="s">
        <v>63</v>
      </c>
      <c r="BK142" s="31"/>
      <c r="BL142" s="98"/>
      <c r="BM142" s="31"/>
      <c r="BN142" s="98"/>
      <c r="BO142" s="99"/>
      <c r="BP142" s="98" t="s">
        <v>63</v>
      </c>
      <c r="BQ142" s="99" t="s">
        <v>59</v>
      </c>
      <c r="BR142" s="101" t="s">
        <v>63</v>
      </c>
      <c r="BS142" s="31"/>
      <c r="BT142" s="98"/>
      <c r="BU142" s="31"/>
      <c r="BV142" s="98"/>
      <c r="BW142" s="31"/>
      <c r="BX142" s="98"/>
      <c r="BY142" s="31"/>
      <c r="BZ142" s="98"/>
      <c r="CA142" s="31"/>
      <c r="CB142" s="98"/>
      <c r="CC142" s="31"/>
      <c r="CD142" s="98"/>
      <c r="CE142" s="31"/>
      <c r="CF142" s="98"/>
      <c r="CG142" s="31"/>
      <c r="CH142" s="146"/>
    </row>
    <row r="143" spans="2:86" x14ac:dyDescent="0.25">
      <c r="B143">
        <v>31</v>
      </c>
      <c r="E143" s="145" t="s">
        <v>59</v>
      </c>
      <c r="F143" s="101"/>
      <c r="G143" s="31"/>
      <c r="H143" s="98"/>
      <c r="I143" s="31"/>
      <c r="J143" s="98"/>
      <c r="K143" s="31"/>
      <c r="L143" s="98"/>
      <c r="M143" s="31"/>
      <c r="N143" s="98"/>
      <c r="O143" s="31"/>
      <c r="P143" s="98"/>
      <c r="Q143" s="31"/>
      <c r="R143" s="98"/>
      <c r="S143" s="31"/>
      <c r="T143" s="98"/>
      <c r="U143" s="31"/>
      <c r="V143" s="98"/>
      <c r="W143" s="31"/>
      <c r="X143" s="98"/>
      <c r="Y143" s="31"/>
      <c r="Z143" s="98"/>
      <c r="AA143" s="31"/>
      <c r="AB143" s="98"/>
      <c r="AC143" s="31"/>
      <c r="AD143" s="31"/>
      <c r="AE143" s="31"/>
      <c r="AF143" s="31"/>
      <c r="AG143" s="31"/>
      <c r="AH143" s="31"/>
      <c r="AI143" s="31"/>
      <c r="AJ143" s="31"/>
      <c r="AK143" s="31"/>
      <c r="AL143" s="31"/>
      <c r="AM143" s="31"/>
      <c r="AN143" s="98"/>
      <c r="AO143" s="31"/>
      <c r="AP143" s="98"/>
      <c r="AQ143" s="31"/>
      <c r="AR143" s="98"/>
      <c r="AS143" s="31"/>
      <c r="AT143" s="98"/>
      <c r="AU143" s="31"/>
      <c r="AV143" s="31"/>
      <c r="AW143" s="31"/>
      <c r="AX143" s="98"/>
      <c r="AY143" s="31"/>
      <c r="AZ143" s="98"/>
      <c r="BA143" s="31"/>
      <c r="BB143" s="98"/>
      <c r="BC143" s="97" t="s">
        <v>59</v>
      </c>
      <c r="BD143" s="101"/>
      <c r="BE143" s="31"/>
      <c r="BF143" s="98"/>
      <c r="BG143" s="31"/>
      <c r="BH143" s="98"/>
      <c r="BI143" s="31"/>
      <c r="BJ143" s="98"/>
      <c r="BK143" s="31"/>
      <c r="BL143" s="98"/>
      <c r="BM143" s="31"/>
      <c r="BN143" s="98"/>
      <c r="BO143" s="31"/>
      <c r="BP143" s="98"/>
      <c r="BQ143" s="99"/>
      <c r="BR143" s="98" t="s">
        <v>63</v>
      </c>
      <c r="BS143" s="31"/>
      <c r="BT143" s="98"/>
      <c r="BU143" s="31"/>
      <c r="BV143" s="98"/>
      <c r="BW143" s="31"/>
      <c r="BX143" s="98"/>
      <c r="BY143" s="31"/>
      <c r="BZ143" s="98"/>
      <c r="CA143" s="31"/>
      <c r="CB143" s="98"/>
      <c r="CC143" s="31"/>
      <c r="CD143" s="98"/>
      <c r="CE143" s="31"/>
      <c r="CF143" s="98"/>
      <c r="CG143" s="31"/>
      <c r="CH143" s="146"/>
    </row>
    <row r="144" spans="2:86" ht="13.8" thickBot="1" x14ac:dyDescent="0.3">
      <c r="B144">
        <v>32</v>
      </c>
      <c r="E144" s="150"/>
      <c r="F144" s="121"/>
      <c r="G144" s="122"/>
      <c r="H144" s="121"/>
      <c r="I144" s="122"/>
      <c r="J144" s="121"/>
      <c r="K144" s="122"/>
      <c r="L144" s="121"/>
      <c r="M144" s="122"/>
      <c r="N144" s="121"/>
      <c r="O144" s="122"/>
      <c r="P144" s="121"/>
      <c r="Q144" s="122"/>
      <c r="R144" s="121"/>
      <c r="S144" s="122"/>
      <c r="T144" s="121"/>
      <c r="U144" s="122"/>
      <c r="V144" s="121"/>
      <c r="W144" s="122"/>
      <c r="X144" s="121"/>
      <c r="Y144" s="122"/>
      <c r="Z144" s="121"/>
      <c r="AA144" s="122"/>
      <c r="AB144" s="121"/>
      <c r="AC144" s="122"/>
      <c r="AD144" s="122"/>
      <c r="AE144" s="122"/>
      <c r="AF144" s="122"/>
      <c r="AG144" s="122"/>
      <c r="AH144" s="122"/>
      <c r="AI144" s="122"/>
      <c r="AJ144" s="122"/>
      <c r="AK144" s="122"/>
      <c r="AL144" s="122"/>
      <c r="AM144" s="122"/>
      <c r="AN144" s="121"/>
      <c r="AO144" s="122"/>
      <c r="AP144" s="121"/>
      <c r="AQ144" s="122"/>
      <c r="AR144" s="121"/>
      <c r="AS144" s="122"/>
      <c r="AT144" s="121"/>
      <c r="AU144" s="122"/>
      <c r="AV144" s="122"/>
      <c r="AW144" s="122"/>
      <c r="AX144" s="121"/>
      <c r="AY144" s="122"/>
      <c r="AZ144" s="121"/>
      <c r="BA144" s="122"/>
      <c r="BB144" s="121"/>
      <c r="BC144" s="120"/>
      <c r="BD144" s="121"/>
      <c r="BE144" s="122"/>
      <c r="BF144" s="121"/>
      <c r="BG144" s="122"/>
      <c r="BH144" s="121"/>
      <c r="BI144" s="122"/>
      <c r="BJ144" s="121"/>
      <c r="BK144" s="122"/>
      <c r="BL144" s="121"/>
      <c r="BM144" s="122"/>
      <c r="BN144" s="121"/>
      <c r="BO144" s="122"/>
      <c r="BP144" s="121"/>
      <c r="BQ144" s="122"/>
      <c r="BR144" s="121"/>
      <c r="BS144" s="122"/>
      <c r="BT144" s="121"/>
      <c r="BU144" s="122"/>
      <c r="BV144" s="121"/>
      <c r="BW144" s="122"/>
      <c r="BX144" s="121"/>
      <c r="BY144" s="122"/>
      <c r="BZ144" s="121"/>
      <c r="CA144" s="122"/>
      <c r="CB144" s="121"/>
      <c r="CC144" s="122"/>
      <c r="CD144" s="121"/>
      <c r="CE144" s="122"/>
      <c r="CF144" s="121"/>
      <c r="CG144" s="122"/>
      <c r="CH144" s="151"/>
    </row>
    <row r="145" spans="2:86" ht="13.8" thickTop="1" x14ac:dyDescent="0.25">
      <c r="B145">
        <v>33</v>
      </c>
      <c r="C145">
        <f>IF(B105&lt;B104,5,0)</f>
        <v>0</v>
      </c>
      <c r="E145" s="141"/>
      <c r="F145" s="123"/>
      <c r="G145" s="127"/>
      <c r="H145" s="123"/>
      <c r="I145" s="127"/>
      <c r="J145" s="123"/>
      <c r="K145" s="127"/>
      <c r="L145" s="123"/>
      <c r="M145" s="127"/>
      <c r="N145" s="123"/>
      <c r="O145" s="127"/>
      <c r="P145" s="123"/>
      <c r="Q145" s="127"/>
      <c r="R145" s="123"/>
      <c r="S145" s="127"/>
      <c r="T145" s="123"/>
      <c r="U145" s="127"/>
      <c r="V145" s="123"/>
      <c r="W145" s="127"/>
      <c r="X145" s="123"/>
      <c r="Y145" s="127"/>
      <c r="Z145" s="123"/>
      <c r="AA145" s="127"/>
      <c r="AB145" s="123"/>
      <c r="AC145" s="127"/>
      <c r="AD145" s="127"/>
      <c r="AE145" s="127"/>
      <c r="AF145" s="127"/>
      <c r="AG145" s="127"/>
      <c r="AH145" s="127"/>
      <c r="AI145" s="127"/>
      <c r="AJ145" s="127"/>
      <c r="AK145" s="127"/>
      <c r="AL145" s="127"/>
      <c r="AM145" s="127"/>
      <c r="AN145" s="123"/>
      <c r="AO145" s="127"/>
      <c r="AP145" s="123"/>
      <c r="AQ145" s="127"/>
      <c r="AR145" s="123"/>
      <c r="AS145" s="127"/>
      <c r="AT145" s="123"/>
      <c r="AU145" s="127"/>
      <c r="AV145" s="127"/>
      <c r="AW145" s="127"/>
      <c r="AX145" s="123"/>
      <c r="AY145" s="127"/>
      <c r="AZ145" s="123"/>
      <c r="BA145" s="127"/>
      <c r="BB145" s="123"/>
      <c r="BC145" s="97"/>
      <c r="BD145" s="98"/>
      <c r="BE145" s="31"/>
      <c r="BF145" s="98"/>
      <c r="BG145" s="31"/>
      <c r="BH145" s="98"/>
      <c r="BI145" s="31"/>
      <c r="BJ145" s="98"/>
      <c r="BK145" s="31"/>
      <c r="BL145" s="98"/>
      <c r="BM145" s="31"/>
      <c r="BN145" s="98"/>
      <c r="BO145" s="31"/>
      <c r="BP145" s="98"/>
      <c r="BQ145" s="31"/>
      <c r="BR145" s="98"/>
      <c r="BS145" s="31"/>
      <c r="BT145" s="98"/>
      <c r="BU145" s="31"/>
      <c r="BV145" s="98"/>
      <c r="BW145" s="31"/>
      <c r="BX145" s="98"/>
      <c r="BY145" s="31"/>
      <c r="BZ145" s="98"/>
      <c r="CA145" s="31"/>
      <c r="CB145" s="98"/>
      <c r="CC145" s="31"/>
      <c r="CD145" s="98"/>
      <c r="CE145" s="31"/>
      <c r="CF145" s="98"/>
      <c r="CG145" s="31"/>
      <c r="CH145" s="146"/>
    </row>
    <row r="146" spans="2:86" x14ac:dyDescent="0.25">
      <c r="B146">
        <v>34</v>
      </c>
      <c r="E146" s="145"/>
      <c r="F146" s="98"/>
      <c r="G146" s="31"/>
      <c r="H146" s="98"/>
      <c r="I146" s="31"/>
      <c r="J146" s="98"/>
      <c r="K146" s="31"/>
      <c r="L146" s="98"/>
      <c r="M146" s="31"/>
      <c r="N146" s="98"/>
      <c r="O146" s="31"/>
      <c r="P146" s="98"/>
      <c r="Q146" s="31"/>
      <c r="R146" s="98"/>
      <c r="S146" s="31"/>
      <c r="T146" s="98"/>
      <c r="U146" s="31"/>
      <c r="V146" s="98"/>
      <c r="W146" s="31"/>
      <c r="X146" s="98"/>
      <c r="Y146" s="31"/>
      <c r="Z146" s="98"/>
      <c r="AA146" s="31"/>
      <c r="AB146" s="98"/>
      <c r="AC146" s="31"/>
      <c r="AD146" s="31"/>
      <c r="AE146" s="31"/>
      <c r="AF146" s="31"/>
      <c r="AG146" s="31"/>
      <c r="AH146" s="31"/>
      <c r="AI146" s="31"/>
      <c r="AJ146" s="31"/>
      <c r="AK146" s="31"/>
      <c r="AL146" s="31"/>
      <c r="AM146" s="31"/>
      <c r="AN146" s="98"/>
      <c r="AO146" s="31"/>
      <c r="AP146" s="98"/>
      <c r="AQ146" s="31"/>
      <c r="AR146" s="98"/>
      <c r="AS146" s="31"/>
      <c r="AT146" s="98"/>
      <c r="AU146" s="31"/>
      <c r="AV146" s="31"/>
      <c r="AW146" s="31"/>
      <c r="AX146" s="98"/>
      <c r="AY146" s="31"/>
      <c r="AZ146" s="98"/>
      <c r="BA146" s="31"/>
      <c r="BB146" s="98"/>
      <c r="BC146" s="97"/>
      <c r="BD146" s="98"/>
      <c r="BE146" s="31"/>
      <c r="BF146" s="98"/>
      <c r="BG146" s="31"/>
      <c r="BH146" s="98"/>
      <c r="BI146" s="31"/>
      <c r="BJ146" s="98"/>
      <c r="BK146" s="31"/>
      <c r="BL146" s="98"/>
      <c r="BM146" s="31"/>
      <c r="BN146" s="98"/>
      <c r="BO146" s="31"/>
      <c r="BP146" s="98"/>
      <c r="BQ146" s="31"/>
      <c r="BR146" s="98"/>
      <c r="BS146" s="31"/>
      <c r="BT146" s="98"/>
      <c r="BU146" s="31"/>
      <c r="BV146" s="98"/>
      <c r="BW146" s="31"/>
      <c r="BX146" s="98"/>
      <c r="BY146" s="31"/>
      <c r="BZ146" s="98"/>
      <c r="CA146" s="31"/>
      <c r="CB146" s="98"/>
      <c r="CC146" s="31"/>
      <c r="CD146" s="98"/>
      <c r="CE146" s="31"/>
      <c r="CF146" s="98"/>
      <c r="CG146" s="31"/>
      <c r="CH146" s="146"/>
    </row>
    <row r="147" spans="2:86" x14ac:dyDescent="0.25">
      <c r="B147">
        <v>35</v>
      </c>
      <c r="E147" s="145"/>
      <c r="F147" s="98"/>
      <c r="G147" s="31"/>
      <c r="H147" s="98"/>
      <c r="I147" s="31"/>
      <c r="J147" s="98"/>
      <c r="K147" s="31"/>
      <c r="L147" s="98"/>
      <c r="M147" s="31"/>
      <c r="N147" s="98"/>
      <c r="O147" s="31"/>
      <c r="P147" s="98"/>
      <c r="Q147" s="31"/>
      <c r="R147" s="98"/>
      <c r="S147" s="31"/>
      <c r="T147" s="98"/>
      <c r="U147" s="31"/>
      <c r="V147" s="98"/>
      <c r="W147" s="31"/>
      <c r="X147" s="98"/>
      <c r="Y147" s="31"/>
      <c r="Z147" s="98"/>
      <c r="AA147" s="31"/>
      <c r="AB147" s="98"/>
      <c r="AC147" s="31"/>
      <c r="AD147" s="31"/>
      <c r="AE147" s="31"/>
      <c r="AF147" s="31"/>
      <c r="AG147" s="31"/>
      <c r="AH147" s="31"/>
      <c r="AI147" s="31"/>
      <c r="AJ147" s="31"/>
      <c r="AK147" s="31"/>
      <c r="AL147" s="31"/>
      <c r="AM147" s="31"/>
      <c r="AN147" s="98"/>
      <c r="AO147" s="31"/>
      <c r="AP147" s="98"/>
      <c r="AQ147" s="31"/>
      <c r="AR147" s="98"/>
      <c r="AS147" s="31"/>
      <c r="AT147" s="98"/>
      <c r="AU147" s="31"/>
      <c r="AV147" s="31"/>
      <c r="AW147" s="31"/>
      <c r="AX147" s="98"/>
      <c r="AY147" s="31"/>
      <c r="AZ147" s="98"/>
      <c r="BA147" s="31"/>
      <c r="BB147" s="101" t="s">
        <v>63</v>
      </c>
      <c r="BC147" s="97"/>
      <c r="BD147" s="98"/>
      <c r="BE147" s="31"/>
      <c r="BF147" s="98"/>
      <c r="BG147" s="31"/>
      <c r="BH147" s="98"/>
      <c r="BI147" s="31"/>
      <c r="BJ147" s="98"/>
      <c r="BK147" s="31"/>
      <c r="BL147" s="98"/>
      <c r="BM147" s="31"/>
      <c r="BN147" s="98"/>
      <c r="BO147" s="31"/>
      <c r="BP147" s="101" t="s">
        <v>63</v>
      </c>
      <c r="BQ147" s="31"/>
      <c r="BR147" s="98"/>
      <c r="BS147" s="31"/>
      <c r="BT147" s="98"/>
      <c r="BU147" s="31"/>
      <c r="BV147" s="98"/>
      <c r="BW147" s="31"/>
      <c r="BX147" s="98"/>
      <c r="BY147" s="31"/>
      <c r="BZ147" s="98"/>
      <c r="CA147" s="31"/>
      <c r="CB147" s="98"/>
      <c r="CC147" s="31"/>
      <c r="CD147" s="98"/>
      <c r="CE147" s="31"/>
      <c r="CF147" s="98"/>
      <c r="CG147" s="31"/>
      <c r="CH147" s="146"/>
    </row>
    <row r="148" spans="2:86" ht="13.8" thickBot="1" x14ac:dyDescent="0.3">
      <c r="B148">
        <v>36</v>
      </c>
      <c r="E148" s="153"/>
      <c r="F148" s="111"/>
      <c r="G148" s="116"/>
      <c r="H148" s="111"/>
      <c r="I148" s="116"/>
      <c r="J148" s="111"/>
      <c r="K148" s="116"/>
      <c r="L148" s="111"/>
      <c r="M148" s="116"/>
      <c r="N148" s="111"/>
      <c r="O148" s="116"/>
      <c r="P148" s="111"/>
      <c r="Q148" s="116"/>
      <c r="R148" s="115" t="s">
        <v>63</v>
      </c>
      <c r="S148" s="116"/>
      <c r="T148" s="111"/>
      <c r="U148" s="116"/>
      <c r="V148" s="111"/>
      <c r="W148" s="116"/>
      <c r="X148" s="111"/>
      <c r="Y148" s="116"/>
      <c r="Z148" s="111"/>
      <c r="AA148" s="116"/>
      <c r="AB148" s="115" t="s">
        <v>63</v>
      </c>
      <c r="AC148" s="116"/>
      <c r="AD148" s="116"/>
      <c r="AE148" s="116"/>
      <c r="AF148" s="116"/>
      <c r="AG148" s="116"/>
      <c r="AH148" s="116"/>
      <c r="AI148" s="116"/>
      <c r="AJ148" s="116"/>
      <c r="AK148" s="116"/>
      <c r="AL148" s="116"/>
      <c r="AM148" s="116"/>
      <c r="AN148" s="111"/>
      <c r="AO148" s="116"/>
      <c r="AP148" s="111"/>
      <c r="AQ148" s="116"/>
      <c r="AR148" s="115" t="s">
        <v>63</v>
      </c>
      <c r="AS148" s="116"/>
      <c r="AT148" s="111"/>
      <c r="AU148" s="116"/>
      <c r="AV148" s="116"/>
      <c r="AW148" s="116"/>
      <c r="AX148" s="111"/>
      <c r="AY148" s="116"/>
      <c r="AZ148" s="115" t="s">
        <v>63</v>
      </c>
      <c r="BA148" s="116" t="s">
        <v>63</v>
      </c>
      <c r="BB148" s="111" t="s">
        <v>63</v>
      </c>
      <c r="BC148" s="110"/>
      <c r="BD148" s="111"/>
      <c r="BE148" s="116"/>
      <c r="BF148" s="111"/>
      <c r="BG148" s="116"/>
      <c r="BH148" s="111"/>
      <c r="BI148" s="116"/>
      <c r="BJ148" s="111"/>
      <c r="BK148" s="116"/>
      <c r="BL148" s="111"/>
      <c r="BM148" s="116"/>
      <c r="BN148" s="111"/>
      <c r="BO148" s="116"/>
      <c r="BP148" s="115" t="s">
        <v>63</v>
      </c>
      <c r="BQ148" s="116"/>
      <c r="BR148" s="111"/>
      <c r="BS148" s="116"/>
      <c r="BT148" s="111"/>
      <c r="BU148" s="116"/>
      <c r="BV148" s="111"/>
      <c r="BW148" s="116"/>
      <c r="BX148" s="111"/>
      <c r="BY148" s="116"/>
      <c r="BZ148" s="111"/>
      <c r="CA148" s="116"/>
      <c r="CB148" s="111"/>
      <c r="CC148" s="116"/>
      <c r="CD148" s="111"/>
      <c r="CE148" s="116"/>
      <c r="CF148" s="111"/>
      <c r="CG148" s="116"/>
      <c r="CH148" s="154" t="s">
        <v>63</v>
      </c>
    </row>
    <row r="149" spans="2:86" x14ac:dyDescent="0.25">
      <c r="B149">
        <v>37</v>
      </c>
      <c r="E149" s="145"/>
      <c r="F149" s="98"/>
      <c r="G149" s="31"/>
      <c r="H149" s="101" t="s">
        <v>63</v>
      </c>
      <c r="I149" s="31"/>
      <c r="J149" s="98"/>
      <c r="K149" s="31"/>
      <c r="L149" s="98"/>
      <c r="M149" s="31"/>
      <c r="N149" s="98"/>
      <c r="O149" s="31"/>
      <c r="P149" s="98"/>
      <c r="Q149" s="31"/>
      <c r="R149" s="101" t="s">
        <v>63</v>
      </c>
      <c r="S149" s="31"/>
      <c r="T149" s="98"/>
      <c r="U149" s="31"/>
      <c r="V149" s="98"/>
      <c r="W149" s="31"/>
      <c r="X149" s="98"/>
      <c r="Y149" s="31"/>
      <c r="Z149" s="98"/>
      <c r="AA149" s="31" t="s">
        <v>63</v>
      </c>
      <c r="AB149" s="98" t="s">
        <v>63</v>
      </c>
      <c r="AC149" s="31"/>
      <c r="AD149" s="31"/>
      <c r="AE149" s="31"/>
      <c r="AF149" s="31"/>
      <c r="AG149" s="31"/>
      <c r="AH149" s="31"/>
      <c r="AI149" s="31"/>
      <c r="AJ149" s="31"/>
      <c r="AK149" s="31"/>
      <c r="AL149" s="31"/>
      <c r="AM149" s="31"/>
      <c r="AN149" s="98"/>
      <c r="AO149" s="31"/>
      <c r="AP149" s="98"/>
      <c r="AQ149" s="31"/>
      <c r="AR149" s="101" t="s">
        <v>63</v>
      </c>
      <c r="AS149" s="31"/>
      <c r="AT149" s="98"/>
      <c r="AU149" s="31"/>
      <c r="AV149" s="31"/>
      <c r="AW149" s="31"/>
      <c r="AX149" s="98"/>
      <c r="AY149" s="31" t="s">
        <v>60</v>
      </c>
      <c r="AZ149" s="101" t="s">
        <v>63</v>
      </c>
      <c r="BA149" s="31" t="s">
        <v>63</v>
      </c>
      <c r="BB149" s="98" t="s">
        <v>63</v>
      </c>
      <c r="BC149" s="97"/>
      <c r="BD149" s="98"/>
      <c r="BE149" s="31"/>
      <c r="BF149" s="98"/>
      <c r="BG149" s="31"/>
      <c r="BH149" s="101" t="s">
        <v>63</v>
      </c>
      <c r="BI149" s="31"/>
      <c r="BJ149" s="101" t="s">
        <v>63</v>
      </c>
      <c r="BK149" s="31"/>
      <c r="BL149" s="98"/>
      <c r="BM149" s="31"/>
      <c r="BN149" s="98"/>
      <c r="BO149" s="31"/>
      <c r="BP149" s="101" t="s">
        <v>63</v>
      </c>
      <c r="BQ149" s="31"/>
      <c r="BR149" s="98"/>
      <c r="BS149" s="31"/>
      <c r="BT149" s="98"/>
      <c r="BU149" s="31"/>
      <c r="BV149" s="98"/>
      <c r="BW149" s="31"/>
      <c r="BX149" s="98"/>
      <c r="BY149" s="31"/>
      <c r="BZ149" s="98"/>
      <c r="CA149" s="31" t="s">
        <v>60</v>
      </c>
      <c r="CB149" s="101" t="s">
        <v>63</v>
      </c>
      <c r="CC149" s="31"/>
      <c r="CD149" s="98"/>
      <c r="CE149" s="31"/>
      <c r="CF149" s="101" t="s">
        <v>63</v>
      </c>
      <c r="CG149" s="31"/>
      <c r="CH149" s="155" t="s">
        <v>63</v>
      </c>
    </row>
    <row r="150" spans="2:86" x14ac:dyDescent="0.25">
      <c r="B150">
        <v>38</v>
      </c>
      <c r="E150" s="149" t="s">
        <v>59</v>
      </c>
      <c r="F150" s="131"/>
      <c r="G150" s="99" t="s">
        <v>59</v>
      </c>
      <c r="H150" s="101" t="s">
        <v>63</v>
      </c>
      <c r="I150" s="31"/>
      <c r="J150" s="98"/>
      <c r="K150" s="99" t="s">
        <v>59</v>
      </c>
      <c r="L150" s="98" t="s">
        <v>60</v>
      </c>
      <c r="M150" s="31"/>
      <c r="N150" s="98"/>
      <c r="O150" s="99" t="s">
        <v>59</v>
      </c>
      <c r="P150" s="101" t="s">
        <v>63</v>
      </c>
      <c r="Q150" s="99" t="s">
        <v>59</v>
      </c>
      <c r="R150" s="101" t="s">
        <v>63</v>
      </c>
      <c r="S150" s="31"/>
      <c r="T150" s="98"/>
      <c r="U150" s="31"/>
      <c r="V150" s="98"/>
      <c r="W150" s="31"/>
      <c r="X150" s="98"/>
      <c r="Y150" s="31"/>
      <c r="Z150" s="98"/>
      <c r="AA150" s="99"/>
      <c r="AB150" s="98" t="s">
        <v>63</v>
      </c>
      <c r="AC150" s="31"/>
      <c r="AD150" s="31"/>
      <c r="AE150" s="31"/>
      <c r="AF150" s="31"/>
      <c r="AG150" s="31"/>
      <c r="AH150" s="31"/>
      <c r="AI150" s="31"/>
      <c r="AJ150" s="31"/>
      <c r="AK150" s="31"/>
      <c r="AL150" s="31"/>
      <c r="AM150" s="31"/>
      <c r="AN150" s="98"/>
      <c r="AO150" s="99" t="s">
        <v>59</v>
      </c>
      <c r="AP150" s="101" t="s">
        <v>63</v>
      </c>
      <c r="AQ150" s="31"/>
      <c r="AR150" s="101" t="s">
        <v>63</v>
      </c>
      <c r="AS150" s="31"/>
      <c r="AT150" s="98"/>
      <c r="AU150" s="31"/>
      <c r="AV150" s="31"/>
      <c r="AW150" s="31"/>
      <c r="AX150" s="98"/>
      <c r="AY150" s="99"/>
      <c r="AZ150" s="98" t="s">
        <v>63</v>
      </c>
      <c r="BA150" s="99"/>
      <c r="BB150" s="98" t="s">
        <v>63</v>
      </c>
      <c r="BC150" s="100" t="s">
        <v>59</v>
      </c>
      <c r="BD150" s="98"/>
      <c r="BE150" s="99" t="s">
        <v>59</v>
      </c>
      <c r="BF150" s="98"/>
      <c r="BG150" s="99" t="s">
        <v>59</v>
      </c>
      <c r="BH150" s="101" t="s">
        <v>63</v>
      </c>
      <c r="BI150" s="99" t="s">
        <v>59</v>
      </c>
      <c r="BJ150" s="101" t="s">
        <v>63</v>
      </c>
      <c r="BK150" s="31"/>
      <c r="BL150" s="98"/>
      <c r="BM150" s="99" t="s">
        <v>59</v>
      </c>
      <c r="BN150" s="101" t="s">
        <v>63</v>
      </c>
      <c r="BO150" s="99" t="s">
        <v>59</v>
      </c>
      <c r="BP150" s="101" t="s">
        <v>63</v>
      </c>
      <c r="BQ150" s="99" t="s">
        <v>59</v>
      </c>
      <c r="BR150" s="98"/>
      <c r="BS150" s="31"/>
      <c r="BT150" s="101" t="s">
        <v>63</v>
      </c>
      <c r="BU150" s="31"/>
      <c r="BV150" s="101" t="s">
        <v>63</v>
      </c>
      <c r="BW150" s="31"/>
      <c r="BX150" s="101" t="s">
        <v>63</v>
      </c>
      <c r="BY150" s="31" t="s">
        <v>60</v>
      </c>
      <c r="BZ150" s="101" t="s">
        <v>63</v>
      </c>
      <c r="CA150" s="99"/>
      <c r="CB150" s="98" t="s">
        <v>63</v>
      </c>
      <c r="CC150" s="31"/>
      <c r="CD150" s="101" t="s">
        <v>63</v>
      </c>
      <c r="CE150" s="31" t="s">
        <v>63</v>
      </c>
      <c r="CF150" s="98" t="s">
        <v>63</v>
      </c>
      <c r="CG150" s="31" t="s">
        <v>63</v>
      </c>
      <c r="CH150" s="146" t="s">
        <v>63</v>
      </c>
    </row>
    <row r="151" spans="2:86" x14ac:dyDescent="0.25">
      <c r="B151">
        <v>39</v>
      </c>
      <c r="E151" s="145" t="s">
        <v>59</v>
      </c>
      <c r="F151" s="98" t="s">
        <v>59</v>
      </c>
      <c r="G151" s="99" t="s">
        <v>59</v>
      </c>
      <c r="H151" s="101" t="s">
        <v>63</v>
      </c>
      <c r="I151" s="31"/>
      <c r="J151" s="98"/>
      <c r="K151" s="31" t="s">
        <v>59</v>
      </c>
      <c r="L151" s="101"/>
      <c r="M151" s="31"/>
      <c r="N151" s="98"/>
      <c r="O151" s="31" t="s">
        <v>59</v>
      </c>
      <c r="P151" s="101"/>
      <c r="Q151" s="99" t="s">
        <v>59</v>
      </c>
      <c r="R151" s="101" t="s">
        <v>63</v>
      </c>
      <c r="S151" s="31"/>
      <c r="T151" s="98"/>
      <c r="U151" s="31"/>
      <c r="V151" s="98"/>
      <c r="W151" s="31"/>
      <c r="X151" s="98"/>
      <c r="Y151" s="31"/>
      <c r="Z151" s="98"/>
      <c r="AA151" s="31"/>
      <c r="AB151" s="98"/>
      <c r="AC151" s="31"/>
      <c r="AD151" s="31"/>
      <c r="AE151" s="31"/>
      <c r="AF151" s="31"/>
      <c r="AG151" s="31"/>
      <c r="AH151" s="31"/>
      <c r="AI151" s="31"/>
      <c r="AJ151" s="31"/>
      <c r="AK151" s="31"/>
      <c r="AL151" s="31"/>
      <c r="AM151" s="31"/>
      <c r="AN151" s="98"/>
      <c r="AO151" s="31"/>
      <c r="AP151" s="98"/>
      <c r="AQ151" s="99" t="s">
        <v>59</v>
      </c>
      <c r="AR151" s="101" t="s">
        <v>63</v>
      </c>
      <c r="AS151" s="31"/>
      <c r="AT151" s="98"/>
      <c r="AU151" s="31"/>
      <c r="AV151" s="31"/>
      <c r="AW151" s="31"/>
      <c r="AX151" s="98"/>
      <c r="AY151" s="99"/>
      <c r="AZ151" s="98" t="s">
        <v>63</v>
      </c>
      <c r="BA151" s="31"/>
      <c r="BB151" s="98"/>
      <c r="BC151" s="100" t="s">
        <v>59</v>
      </c>
      <c r="BD151" s="101" t="s">
        <v>63</v>
      </c>
      <c r="BE151" s="99" t="s">
        <v>59</v>
      </c>
      <c r="BF151" s="101" t="s">
        <v>63</v>
      </c>
      <c r="BG151" s="31"/>
      <c r="BH151" s="98"/>
      <c r="BI151" s="99"/>
      <c r="BJ151" s="98" t="s">
        <v>63</v>
      </c>
      <c r="BK151" s="31"/>
      <c r="BL151" s="98"/>
      <c r="BM151" s="99"/>
      <c r="BN151" s="98" t="s">
        <v>63</v>
      </c>
      <c r="BO151" s="99"/>
      <c r="BP151" s="98" t="s">
        <v>63</v>
      </c>
      <c r="BQ151" s="99" t="s">
        <v>59</v>
      </c>
      <c r="BR151" s="101" t="s">
        <v>63</v>
      </c>
      <c r="BS151" s="99" t="s">
        <v>59</v>
      </c>
      <c r="BT151" s="101" t="s">
        <v>63</v>
      </c>
      <c r="BU151" s="99" t="s">
        <v>59</v>
      </c>
      <c r="BV151" s="101" t="s">
        <v>63</v>
      </c>
      <c r="BW151" s="99" t="s">
        <v>59</v>
      </c>
      <c r="BX151" s="101" t="s">
        <v>63</v>
      </c>
      <c r="BY151" s="99"/>
      <c r="BZ151" s="98" t="s">
        <v>63</v>
      </c>
      <c r="CA151" s="31"/>
      <c r="CB151" s="98"/>
      <c r="CC151" s="31" t="s">
        <v>63</v>
      </c>
      <c r="CD151" s="98" t="s">
        <v>63</v>
      </c>
      <c r="CE151" s="99"/>
      <c r="CF151" s="98" t="s">
        <v>63</v>
      </c>
      <c r="CG151" s="99"/>
      <c r="CH151" s="146" t="s">
        <v>63</v>
      </c>
    </row>
    <row r="152" spans="2:86" ht="13.8" thickBot="1" x14ac:dyDescent="0.3">
      <c r="B152">
        <v>40</v>
      </c>
      <c r="E152" s="150" t="s">
        <v>59</v>
      </c>
      <c r="F152" s="132"/>
      <c r="G152" s="122" t="s">
        <v>59</v>
      </c>
      <c r="H152" s="132"/>
      <c r="I152" s="122"/>
      <c r="J152" s="121"/>
      <c r="K152" s="122"/>
      <c r="L152" s="121"/>
      <c r="M152" s="122"/>
      <c r="N152" s="121"/>
      <c r="O152" s="122"/>
      <c r="P152" s="121"/>
      <c r="Q152" s="122" t="s">
        <v>59</v>
      </c>
      <c r="R152" s="132"/>
      <c r="S152" s="122"/>
      <c r="T152" s="121"/>
      <c r="U152" s="122"/>
      <c r="V152" s="121"/>
      <c r="W152" s="122"/>
      <c r="X152" s="121"/>
      <c r="Y152" s="122"/>
      <c r="Z152" s="121"/>
      <c r="AA152" s="122"/>
      <c r="AB152" s="121"/>
      <c r="AC152" s="122"/>
      <c r="AD152" s="122"/>
      <c r="AE152" s="122"/>
      <c r="AF152" s="122"/>
      <c r="AG152" s="122"/>
      <c r="AH152" s="122"/>
      <c r="AI152" s="122"/>
      <c r="AJ152" s="122"/>
      <c r="AK152" s="122"/>
      <c r="AL152" s="122"/>
      <c r="AM152" s="122"/>
      <c r="AN152" s="121"/>
      <c r="AO152" s="122"/>
      <c r="AP152" s="121"/>
      <c r="AQ152" s="122"/>
      <c r="AR152" s="121"/>
      <c r="AS152" s="122"/>
      <c r="AT152" s="121"/>
      <c r="AU152" s="122"/>
      <c r="AV152" s="122"/>
      <c r="AW152" s="122"/>
      <c r="AX152" s="121"/>
      <c r="AY152" s="122"/>
      <c r="AZ152" s="121"/>
      <c r="BA152" s="122"/>
      <c r="BB152" s="121"/>
      <c r="BC152" s="120" t="s">
        <v>59</v>
      </c>
      <c r="BD152" s="132"/>
      <c r="BE152" s="122"/>
      <c r="BF152" s="121"/>
      <c r="BG152" s="122"/>
      <c r="BH152" s="121"/>
      <c r="BI152" s="122"/>
      <c r="BJ152" s="121"/>
      <c r="BK152" s="122"/>
      <c r="BL152" s="121"/>
      <c r="BM152" s="122"/>
      <c r="BN152" s="121"/>
      <c r="BO152" s="122"/>
      <c r="BP152" s="121"/>
      <c r="BQ152" s="133"/>
      <c r="BR152" s="121" t="s">
        <v>63</v>
      </c>
      <c r="BS152" s="122" t="s">
        <v>59</v>
      </c>
      <c r="BT152" s="132"/>
      <c r="BU152" s="122"/>
      <c r="BV152" s="121"/>
      <c r="BW152" s="133"/>
      <c r="BX152" s="121" t="s">
        <v>63</v>
      </c>
      <c r="BY152" s="122"/>
      <c r="BZ152" s="121"/>
      <c r="CA152" s="122"/>
      <c r="CB152" s="121"/>
      <c r="CC152" s="133"/>
      <c r="CD152" s="121" t="s">
        <v>63</v>
      </c>
      <c r="CE152" s="122"/>
      <c r="CF152" s="121"/>
      <c r="CG152" s="133"/>
      <c r="CH152" s="151" t="s">
        <v>63</v>
      </c>
    </row>
    <row r="153" spans="2:86" ht="13.8" thickTop="1" x14ac:dyDescent="0.25">
      <c r="C153">
        <f>SUM(C113:C152)</f>
        <v>6</v>
      </c>
    </row>
    <row r="155" spans="2:86" x14ac:dyDescent="0.25">
      <c r="E155" t="s">
        <v>59</v>
      </c>
      <c r="F155">
        <f>C53</f>
        <v>4</v>
      </c>
      <c r="H155">
        <f>F155*8-7</f>
        <v>25</v>
      </c>
    </row>
    <row r="156" spans="2:86" x14ac:dyDescent="0.25">
      <c r="E156" t="s">
        <v>44</v>
      </c>
      <c r="F156">
        <f>CI1</f>
        <v>1</v>
      </c>
      <c r="H156">
        <f>F156*2-1</f>
        <v>1</v>
      </c>
    </row>
    <row r="157" spans="2:86" ht="13.8" thickBot="1" x14ac:dyDescent="0.3"/>
    <row r="158" spans="2:86" x14ac:dyDescent="0.25">
      <c r="E158" s="134" t="str">
        <f>IF((INDEX(griglia_rv,H155,H156))="","",INDEX(griglia_rv,H155,H156))</f>
        <v/>
      </c>
      <c r="F158" s="135" t="str">
        <f>IF((INDEX(griglia_rv,H155,H156+1))="","",INDEX(griglia_rv,H155,H156+1))</f>
        <v/>
      </c>
      <c r="H158" t="str">
        <f>CONCATENATE(E158,F158)</f>
        <v/>
      </c>
    </row>
    <row r="159" spans="2:86" x14ac:dyDescent="0.25">
      <c r="E159" s="136" t="str">
        <f>IF((INDEX(griglia_rv,H155+1,H156))="","",INDEX(griglia_rv,H155+1,H156))</f>
        <v/>
      </c>
      <c r="F159" s="137" t="str">
        <f>IF((INDEX(griglia_rv,H155+1,H156+1))="","",INDEX(griglia_rv,H155+1,H156+1))</f>
        <v/>
      </c>
      <c r="H159" t="str">
        <f>CONCATENATE(E159,F159)</f>
        <v/>
      </c>
    </row>
    <row r="160" spans="2:86" x14ac:dyDescent="0.25">
      <c r="E160" s="136" t="str">
        <f>IF((INDEX(griglia_rv,H155+2,H156))="","",INDEX(griglia_rv,H155+2,H156))</f>
        <v/>
      </c>
      <c r="F160" s="137" t="str">
        <f>IF((INDEX(griglia_rv,H155+2,H156+1))="","",INDEX(griglia_rv,H155+2,H156+1))</f>
        <v/>
      </c>
      <c r="H160" t="str">
        <f t="shared" ref="H160:H165" si="1">CONCATENATE(E160,F160)</f>
        <v/>
      </c>
    </row>
    <row r="161" spans="5:8" ht="13.8" thickBot="1" x14ac:dyDescent="0.3">
      <c r="E161" s="138" t="str">
        <f>IF((INDEX(griglia_rv,H155+3,H156))="","",INDEX(griglia_rv,H155+3,H156))</f>
        <v/>
      </c>
      <c r="F161" s="139" t="str">
        <f>IF((INDEX(griglia_rv,H155+3,H156+1))="","",INDEX(griglia_rv,H155+3,H156+1))</f>
        <v/>
      </c>
      <c r="H161" t="str">
        <f t="shared" si="1"/>
        <v/>
      </c>
    </row>
    <row r="162" spans="5:8" x14ac:dyDescent="0.25">
      <c r="E162" s="136" t="str">
        <f>IF((INDEX(griglia_rv,H155+4,H156))="","",INDEX(griglia_rv,H155+4,H156))</f>
        <v>R</v>
      </c>
      <c r="F162" s="137" t="str">
        <f>IF((INDEX(griglia_rv,H155+4,H156+1))="","",INDEX(griglia_rv,H155+4,H156+1))</f>
        <v/>
      </c>
      <c r="H162" t="str">
        <f t="shared" si="1"/>
        <v>R</v>
      </c>
    </row>
    <row r="163" spans="5:8" x14ac:dyDescent="0.25">
      <c r="E163" s="136" t="str">
        <f>IF((INDEX(griglia_rv,H155+5,H156))="","",INDEX(griglia_rv,H155+5,H156))</f>
        <v>R</v>
      </c>
      <c r="F163" s="137" t="str">
        <f>IF((INDEX(griglia_rv,H155+5,H156+1))="","",INDEX(griglia_rv,H155+5,H156+1))</f>
        <v>R</v>
      </c>
      <c r="H163" t="str">
        <f t="shared" si="1"/>
        <v>RR</v>
      </c>
    </row>
    <row r="164" spans="5:8" x14ac:dyDescent="0.25">
      <c r="E164" s="136" t="str">
        <f>IF((INDEX(griglia_rv,H155+6,H156))="","",INDEX(griglia_rv,H155+6,H156))</f>
        <v>R</v>
      </c>
      <c r="F164" s="137" t="str">
        <f>IF((INDEX(griglia_rv,H155+6,H156+1))="","",INDEX(griglia_rv,H155+6,H156+1))</f>
        <v/>
      </c>
      <c r="H164" t="str">
        <f t="shared" si="1"/>
        <v>R</v>
      </c>
    </row>
    <row r="165" spans="5:8" ht="13.8" thickBot="1" x14ac:dyDescent="0.3">
      <c r="E165" s="138" t="str">
        <f>IF((INDEX(griglia_rv,H155+7,H156))="","",INDEX(griglia_rv,H155+7,H156))</f>
        <v/>
      </c>
      <c r="F165" s="139" t="str">
        <f>IF((INDEX(griglia_rv,H155+7,H156+1))="","",INDEX(griglia_rv,H155+7,H156+1))</f>
        <v/>
      </c>
      <c r="H165" t="str">
        <f t="shared" si="1"/>
        <v/>
      </c>
    </row>
    <row r="166" spans="5:8" ht="13.8" thickBot="1" x14ac:dyDescent="0.3">
      <c r="H166" t="str">
        <f>CONCATENATE(H158,H159,H160,H161,H162,H163,H164,H165)</f>
        <v>RRRR</v>
      </c>
    </row>
    <row r="167" spans="5:8" ht="13.8" thickBot="1" x14ac:dyDescent="0.3">
      <c r="H167" s="140" t="str">
        <f>LEFT(H166,1)</f>
        <v>R</v>
      </c>
    </row>
  </sheetData>
  <mergeCells count="169">
    <mergeCell ref="CG1:CH1"/>
    <mergeCell ref="CG2:CH2"/>
    <mergeCell ref="CG3:CH3"/>
    <mergeCell ref="CG4:CH12"/>
    <mergeCell ref="CE1:CF1"/>
    <mergeCell ref="CE2:CF2"/>
    <mergeCell ref="CE3:CF3"/>
    <mergeCell ref="CE4:CF12"/>
    <mergeCell ref="BY1:BZ1"/>
    <mergeCell ref="BY2:BZ2"/>
    <mergeCell ref="BY3:BZ3"/>
    <mergeCell ref="BY4:BZ12"/>
    <mergeCell ref="BW1:BX1"/>
    <mergeCell ref="BW2:BX2"/>
    <mergeCell ref="BW3:BX3"/>
    <mergeCell ref="BW4:BX12"/>
    <mergeCell ref="CC1:CD1"/>
    <mergeCell ref="CC2:CD2"/>
    <mergeCell ref="CC3:CD3"/>
    <mergeCell ref="CC4:CD12"/>
    <mergeCell ref="CA1:CB1"/>
    <mergeCell ref="CA2:CB2"/>
    <mergeCell ref="CA3:CB3"/>
    <mergeCell ref="CA4:CB12"/>
    <mergeCell ref="BQ1:BR1"/>
    <mergeCell ref="BQ2:BR2"/>
    <mergeCell ref="BQ3:BR3"/>
    <mergeCell ref="BQ4:BR12"/>
    <mergeCell ref="BU1:BV1"/>
    <mergeCell ref="BU2:BV2"/>
    <mergeCell ref="BU3:BV3"/>
    <mergeCell ref="BU4:BV12"/>
    <mergeCell ref="BS1:BT1"/>
    <mergeCell ref="BS2:BT2"/>
    <mergeCell ref="BS3:BT3"/>
    <mergeCell ref="BS4:BT12"/>
    <mergeCell ref="BM2:BN2"/>
    <mergeCell ref="BM3:BN3"/>
    <mergeCell ref="BM4:BN12"/>
    <mergeCell ref="BK1:BL1"/>
    <mergeCell ref="BK2:BL2"/>
    <mergeCell ref="BK3:BL3"/>
    <mergeCell ref="BK4:BL12"/>
    <mergeCell ref="BM1:BN1"/>
    <mergeCell ref="BO1:BP1"/>
    <mergeCell ref="BO2:BP2"/>
    <mergeCell ref="BO3:BP3"/>
    <mergeCell ref="BO4:BP12"/>
    <mergeCell ref="BE2:BF2"/>
    <mergeCell ref="BE3:BF3"/>
    <mergeCell ref="BE4:BF12"/>
    <mergeCell ref="BC1:BD1"/>
    <mergeCell ref="BC2:BD2"/>
    <mergeCell ref="BC3:BD3"/>
    <mergeCell ref="BC4:BD12"/>
    <mergeCell ref="BI1:BJ1"/>
    <mergeCell ref="BI2:BJ2"/>
    <mergeCell ref="BI3:BJ3"/>
    <mergeCell ref="BI4:BJ12"/>
    <mergeCell ref="BG1:BH1"/>
    <mergeCell ref="BG2:BH2"/>
    <mergeCell ref="BG3:BH3"/>
    <mergeCell ref="BG4:BH12"/>
    <mergeCell ref="AU1:AV1"/>
    <mergeCell ref="AW1:AX1"/>
    <mergeCell ref="AY1:AZ1"/>
    <mergeCell ref="BA1:BB1"/>
    <mergeCell ref="AM1:AN1"/>
    <mergeCell ref="AO1:AP1"/>
    <mergeCell ref="AQ1:AR1"/>
    <mergeCell ref="AS1:AT1"/>
    <mergeCell ref="BE1:BF1"/>
    <mergeCell ref="AW2:AX2"/>
    <mergeCell ref="AY2:AZ2"/>
    <mergeCell ref="AK2:AL2"/>
    <mergeCell ref="AM2:AN2"/>
    <mergeCell ref="AO2:AP2"/>
    <mergeCell ref="AQ2:AR2"/>
    <mergeCell ref="BA2:BB2"/>
    <mergeCell ref="E1:F1"/>
    <mergeCell ref="G1:H1"/>
    <mergeCell ref="I1:J1"/>
    <mergeCell ref="K1:L1"/>
    <mergeCell ref="M1:N1"/>
    <mergeCell ref="O1:P1"/>
    <mergeCell ref="Q1:R1"/>
    <mergeCell ref="S1:T1"/>
    <mergeCell ref="U1:V1"/>
    <mergeCell ref="AE1:AF1"/>
    <mergeCell ref="AG1:AH1"/>
    <mergeCell ref="AI1:AJ1"/>
    <mergeCell ref="AK1:AL1"/>
    <mergeCell ref="W1:X1"/>
    <mergeCell ref="Y1:Z1"/>
    <mergeCell ref="AA1:AB1"/>
    <mergeCell ref="AC1:AD1"/>
    <mergeCell ref="AE2:AF2"/>
    <mergeCell ref="AG2:AH2"/>
    <mergeCell ref="AI2:AJ2"/>
    <mergeCell ref="U2:V2"/>
    <mergeCell ref="W2:X2"/>
    <mergeCell ref="Y2:Z2"/>
    <mergeCell ref="AA2:AB2"/>
    <mergeCell ref="AS2:AT2"/>
    <mergeCell ref="AU2:AV2"/>
    <mergeCell ref="M2:N2"/>
    <mergeCell ref="O2:P2"/>
    <mergeCell ref="Q2:R2"/>
    <mergeCell ref="S2:T2"/>
    <mergeCell ref="E2:F2"/>
    <mergeCell ref="G2:H2"/>
    <mergeCell ref="I2:J2"/>
    <mergeCell ref="K2:L2"/>
    <mergeCell ref="AC2:AD2"/>
    <mergeCell ref="AY3:AZ3"/>
    <mergeCell ref="BA3:BB3"/>
    <mergeCell ref="AK3:AL3"/>
    <mergeCell ref="AS3:AT3"/>
    <mergeCell ref="AU3:AV3"/>
    <mergeCell ref="AO3:AP3"/>
    <mergeCell ref="AQ3:AR3"/>
    <mergeCell ref="AM3:AN3"/>
    <mergeCell ref="AC3:AD3"/>
    <mergeCell ref="AG3:AH3"/>
    <mergeCell ref="AI3:AJ3"/>
    <mergeCell ref="AE3:AF3"/>
    <mergeCell ref="E3:F3"/>
    <mergeCell ref="G3:H3"/>
    <mergeCell ref="K3:L3"/>
    <mergeCell ref="O3:P3"/>
    <mergeCell ref="AA3:AB3"/>
    <mergeCell ref="AW3:AX3"/>
    <mergeCell ref="I3:J3"/>
    <mergeCell ref="U3:V3"/>
    <mergeCell ref="W3:X3"/>
    <mergeCell ref="Y3:Z3"/>
    <mergeCell ref="M3:N3"/>
    <mergeCell ref="Q3:R3"/>
    <mergeCell ref="S3:T3"/>
    <mergeCell ref="BA4:BB12"/>
    <mergeCell ref="AU4:AV12"/>
    <mergeCell ref="W4:X12"/>
    <mergeCell ref="Y4:Z12"/>
    <mergeCell ref="AO4:AP12"/>
    <mergeCell ref="AQ4:AR12"/>
    <mergeCell ref="AW4:AX12"/>
    <mergeCell ref="AA4:AB12"/>
    <mergeCell ref="AK4:AL12"/>
    <mergeCell ref="AS4:AT12"/>
    <mergeCell ref="AM4:AN12"/>
    <mergeCell ref="AC4:AD12"/>
    <mergeCell ref="AY4:AZ12"/>
    <mergeCell ref="AG4:AH12"/>
    <mergeCell ref="AI4:AJ12"/>
    <mergeCell ref="AE4:AF12"/>
    <mergeCell ref="D13:D20"/>
    <mergeCell ref="I4:J12"/>
    <mergeCell ref="D21:D28"/>
    <mergeCell ref="D29:D36"/>
    <mergeCell ref="D45:D52"/>
    <mergeCell ref="E4:F12"/>
    <mergeCell ref="D37:D44"/>
    <mergeCell ref="U4:V12"/>
    <mergeCell ref="M4:N12"/>
    <mergeCell ref="Q4:R12"/>
    <mergeCell ref="S4:T12"/>
    <mergeCell ref="O4:P12"/>
    <mergeCell ref="G4:H12"/>
    <mergeCell ref="K4:L12"/>
  </mergeCells>
  <phoneticPr fontId="1" type="noConversion"/>
  <conditionalFormatting sqref="E1:CH12">
    <cfRule type="expression" dxfId="7" priority="1" stopIfTrue="1">
      <formula>E$1&lt;&gt;0</formula>
    </cfRule>
  </conditionalFormatting>
  <conditionalFormatting sqref="D13:D21 D29 D37 D45">
    <cfRule type="expression" dxfId="6" priority="2" stopIfTrue="1">
      <formula>$C13&lt;&gt;0</formula>
    </cfRule>
  </conditionalFormatting>
  <conditionalFormatting sqref="K158:K165">
    <cfRule type="expression" dxfId="5" priority="3" stopIfTrue="1">
      <formula>$E158="V"</formula>
    </cfRule>
    <cfRule type="expression" dxfId="4" priority="4" stopIfTrue="1">
      <formula>$E158="R"</formula>
    </cfRule>
    <cfRule type="expression" dxfId="3" priority="5" stopIfTrue="1">
      <formula>$E158="S"</formula>
    </cfRule>
  </conditionalFormatting>
  <conditionalFormatting sqref="L158:L165">
    <cfRule type="expression" dxfId="2" priority="6" stopIfTrue="1">
      <formula>$F158="V"</formula>
    </cfRule>
    <cfRule type="expression" dxfId="1" priority="7" stopIfTrue="1">
      <formula>$F158="R"</formula>
    </cfRule>
    <cfRule type="expression" dxfId="0" priority="8" stopIfTrue="1">
      <formula>$F158="S"</formula>
    </cfRule>
  </conditionalFormatting>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61"/>
  <sheetViews>
    <sheetView workbookViewId="0">
      <selection activeCell="K44" sqref="K44:L47"/>
    </sheetView>
  </sheetViews>
  <sheetFormatPr defaultColWidth="8.77734375" defaultRowHeight="13.2" x14ac:dyDescent="0.25"/>
  <cols>
    <col min="2" max="2" width="2" customWidth="1"/>
    <col min="4" max="4" width="11.33203125" style="60" customWidth="1"/>
    <col min="5" max="5" width="9" style="30" customWidth="1"/>
    <col min="6" max="6" width="2" customWidth="1"/>
  </cols>
  <sheetData>
    <row r="1" spans="1:7" ht="9" customHeight="1" thickBot="1" x14ac:dyDescent="0.3">
      <c r="A1" s="1"/>
      <c r="B1" s="1"/>
      <c r="C1" s="1"/>
    </row>
    <row r="2" spans="1:7" ht="9" customHeight="1" x14ac:dyDescent="0.25"/>
    <row r="3" spans="1:7" ht="9" customHeight="1" thickBot="1" x14ac:dyDescent="0.3">
      <c r="A3" s="89"/>
      <c r="E3" s="92"/>
      <c r="F3" s="1"/>
      <c r="G3" s="1"/>
    </row>
    <row r="4" spans="1:7" ht="9" customHeight="1" x14ac:dyDescent="0.25"/>
    <row r="5" spans="1:7" ht="9" customHeight="1" x14ac:dyDescent="0.25">
      <c r="C5" s="89"/>
      <c r="E5" s="91"/>
      <c r="G5" s="89"/>
    </row>
    <row r="6" spans="1:7" ht="9" customHeight="1" x14ac:dyDescent="0.25">
      <c r="E6" s="91"/>
    </row>
    <row r="7" spans="1:7" ht="9" customHeight="1" x14ac:dyDescent="0.25"/>
    <row r="8" spans="1:7" ht="9" customHeight="1" x14ac:dyDescent="0.25"/>
    <row r="9" spans="1:7" ht="9" customHeight="1" x14ac:dyDescent="0.25"/>
    <row r="10" spans="1:7" ht="9" customHeight="1" x14ac:dyDescent="0.25"/>
    <row r="11" spans="1:7" ht="9" customHeight="1" thickBot="1" x14ac:dyDescent="0.3">
      <c r="A11" s="1"/>
      <c r="B11" s="1"/>
      <c r="C11" s="1"/>
    </row>
    <row r="12" spans="1:7" ht="9" customHeight="1" thickBot="1" x14ac:dyDescent="0.3">
      <c r="E12" s="92"/>
      <c r="F12" s="1"/>
      <c r="G12" s="1"/>
    </row>
    <row r="13" spans="1:7" ht="9" customHeight="1" x14ac:dyDescent="0.25">
      <c r="A13" s="89"/>
    </row>
    <row r="14" spans="1:7" ht="9" customHeight="1" x14ac:dyDescent="0.25">
      <c r="C14" s="89"/>
      <c r="G14" s="89"/>
    </row>
    <row r="15" spans="1:7" ht="9" customHeight="1" x14ac:dyDescent="0.25">
      <c r="E15" s="91"/>
      <c r="G15" s="89"/>
    </row>
    <row r="16" spans="1:7" ht="9" customHeight="1" x14ac:dyDescent="0.25">
      <c r="E16" s="91"/>
    </row>
    <row r="17" spans="1:7" ht="9" customHeight="1" x14ac:dyDescent="0.25"/>
    <row r="18" spans="1:7" ht="9" customHeight="1" x14ac:dyDescent="0.25"/>
    <row r="19" spans="1:7" ht="9" customHeight="1" thickBot="1" x14ac:dyDescent="0.3">
      <c r="E19" s="92"/>
      <c r="F19" s="1"/>
      <c r="G19" s="1"/>
    </row>
    <row r="20" spans="1:7" ht="9" customHeight="1" thickBot="1" x14ac:dyDescent="0.3">
      <c r="A20" s="1"/>
      <c r="B20" s="1"/>
      <c r="C20" s="1"/>
    </row>
    <row r="21" spans="1:7" ht="9" customHeight="1" x14ac:dyDescent="0.25">
      <c r="G21" s="89"/>
    </row>
    <row r="22" spans="1:7" ht="9" customHeight="1" x14ac:dyDescent="0.25">
      <c r="A22" s="89"/>
      <c r="E22" s="91"/>
    </row>
    <row r="23" spans="1:7" ht="9" customHeight="1" x14ac:dyDescent="0.25">
      <c r="A23" s="89"/>
      <c r="C23" s="89"/>
    </row>
    <row r="24" spans="1:7" ht="9" customHeight="1" x14ac:dyDescent="0.25">
      <c r="C24" s="89"/>
    </row>
    <row r="25" spans="1:7" ht="9" customHeight="1" x14ac:dyDescent="0.25"/>
    <row r="26" spans="1:7" ht="9" customHeight="1" x14ac:dyDescent="0.25"/>
    <row r="27" spans="1:7" ht="9" customHeight="1" thickBot="1" x14ac:dyDescent="0.3">
      <c r="E27" s="92"/>
      <c r="F27" s="1"/>
      <c r="G27" s="1"/>
    </row>
    <row r="28" spans="1:7" ht="9" customHeight="1" x14ac:dyDescent="0.25"/>
    <row r="29" spans="1:7" ht="9" customHeight="1" thickBot="1" x14ac:dyDescent="0.3">
      <c r="A29" s="1"/>
      <c r="B29" s="1"/>
      <c r="C29" s="1"/>
      <c r="G29" s="89"/>
    </row>
    <row r="30" spans="1:7" ht="9" customHeight="1" x14ac:dyDescent="0.25"/>
    <row r="31" spans="1:7" ht="9" customHeight="1" x14ac:dyDescent="0.25">
      <c r="A31" s="89"/>
      <c r="C31" s="89"/>
      <c r="E31" s="91"/>
    </row>
    <row r="32" spans="1:7" ht="9" customHeight="1" x14ac:dyDescent="0.25">
      <c r="C32" s="89"/>
      <c r="E32"/>
    </row>
    <row r="33" spans="1:7" ht="9" customHeight="1" x14ac:dyDescent="0.25"/>
    <row r="34" spans="1:7" ht="9" customHeight="1" x14ac:dyDescent="0.25"/>
    <row r="35" spans="1:7" ht="9" customHeight="1" x14ac:dyDescent="0.25"/>
    <row r="36" spans="1:7" ht="9" customHeight="1" thickBot="1" x14ac:dyDescent="0.3">
      <c r="A36" s="1"/>
      <c r="B36" s="1"/>
      <c r="C36" s="1"/>
      <c r="E36" s="92"/>
      <c r="F36" s="1"/>
      <c r="G36" s="1"/>
    </row>
    <row r="37" spans="1:7" ht="9" customHeight="1" x14ac:dyDescent="0.25"/>
    <row r="38" spans="1:7" ht="9" customHeight="1" x14ac:dyDescent="0.25">
      <c r="C38" s="89"/>
      <c r="E38" s="91"/>
    </row>
    <row r="39" spans="1:7" ht="9" customHeight="1" x14ac:dyDescent="0.25">
      <c r="A39" s="89"/>
      <c r="C39" s="89"/>
      <c r="E39" s="91"/>
      <c r="G39" s="89"/>
    </row>
    <row r="40" spans="1:7" ht="9" customHeight="1" x14ac:dyDescent="0.25">
      <c r="C40" s="89"/>
      <c r="E40" s="91"/>
    </row>
    <row r="41" spans="1:7" ht="9" customHeight="1" x14ac:dyDescent="0.25"/>
    <row r="42" spans="1:7" ht="9" customHeight="1" x14ac:dyDescent="0.25"/>
    <row r="43" spans="1:7" ht="9" customHeight="1" x14ac:dyDescent="0.25"/>
    <row r="44" spans="1:7" ht="9" customHeight="1" thickBot="1" x14ac:dyDescent="0.3">
      <c r="A44" s="1"/>
      <c r="B44" s="1"/>
      <c r="C44" s="1"/>
    </row>
    <row r="45" spans="1:7" ht="9" customHeight="1" x14ac:dyDescent="0.25"/>
    <row r="46" spans="1:7" ht="9" customHeight="1" x14ac:dyDescent="0.25">
      <c r="A46" s="89"/>
    </row>
    <row r="47" spans="1:7" ht="9" customHeight="1" x14ac:dyDescent="0.25">
      <c r="A47" s="89"/>
      <c r="C47" s="89"/>
    </row>
    <row r="48" spans="1:7" ht="9" customHeight="1" x14ac:dyDescent="0.25"/>
    <row r="49" spans="1:4" ht="9" customHeight="1" x14ac:dyDescent="0.25"/>
    <row r="50" spans="1:4" ht="9" customHeight="1" thickBot="1" x14ac:dyDescent="0.3">
      <c r="A50" s="1"/>
      <c r="B50" s="1"/>
      <c r="C50" s="1"/>
    </row>
    <row r="51" spans="1:4" ht="9" customHeight="1" x14ac:dyDescent="0.25"/>
    <row r="52" spans="1:4" ht="9" customHeight="1" x14ac:dyDescent="0.25">
      <c r="A52" s="89"/>
      <c r="C52" s="89"/>
    </row>
    <row r="53" spans="1:4" ht="9" customHeight="1" x14ac:dyDescent="0.25">
      <c r="A53" s="89"/>
      <c r="C53" s="89"/>
      <c r="D53" s="90" t="s">
        <v>81</v>
      </c>
    </row>
    <row r="54" spans="1:4" ht="9" customHeight="1" x14ac:dyDescent="0.25"/>
    <row r="55" spans="1:4" ht="9" customHeight="1" x14ac:dyDescent="0.25"/>
    <row r="56" spans="1:4" ht="9" customHeight="1" thickBot="1" x14ac:dyDescent="0.3">
      <c r="A56" s="1"/>
      <c r="B56" s="1"/>
      <c r="C56" s="1"/>
    </row>
    <row r="57" spans="1:4" ht="9" customHeight="1" x14ac:dyDescent="0.25"/>
    <row r="58" spans="1:4" ht="9" customHeight="1" x14ac:dyDescent="0.25">
      <c r="C58" s="89"/>
    </row>
    <row r="59" spans="1:4" ht="9" customHeight="1" x14ac:dyDescent="0.25">
      <c r="A59" s="89"/>
      <c r="C59" s="89"/>
    </row>
    <row r="60" spans="1:4" ht="9" customHeight="1" x14ac:dyDescent="0.25"/>
    <row r="61" spans="1:4" ht="9" customHeight="1" x14ac:dyDescent="0.25"/>
  </sheetData>
  <phoneticPr fontId="1" type="noConversion"/>
  <printOptions gridLines="1"/>
  <pageMargins left="0.78740157480314965" right="0.78740157480314965" top="0.98425196850393704" bottom="0.98425196850393704" header="0.51181102362204722" footer="0.51181102362204722"/>
  <pageSetup scale="12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D18:AS47"/>
  <sheetViews>
    <sheetView topLeftCell="AA10" workbookViewId="0">
      <selection activeCell="AM42" sqref="AM42"/>
    </sheetView>
  </sheetViews>
  <sheetFormatPr defaultColWidth="8.77734375" defaultRowHeight="13.2" x14ac:dyDescent="0.25"/>
  <cols>
    <col min="23" max="39" width="7.6640625" customWidth="1"/>
  </cols>
  <sheetData>
    <row r="18" spans="4:45" ht="13.8" thickBot="1" x14ac:dyDescent="0.3"/>
    <row r="19" spans="4:45" ht="13.8" thickTop="1" x14ac:dyDescent="0.25">
      <c r="D19" s="428" t="s">
        <v>70</v>
      </c>
      <c r="E19" s="8" t="s">
        <v>71</v>
      </c>
      <c r="F19" s="432" t="s">
        <v>72</v>
      </c>
      <c r="G19" s="426"/>
      <c r="H19" s="426"/>
      <c r="I19" s="426"/>
      <c r="J19" s="426"/>
      <c r="K19" s="426"/>
      <c r="L19" s="426"/>
      <c r="M19" s="426"/>
      <c r="N19" s="426"/>
      <c r="O19" s="426"/>
      <c r="P19" s="433"/>
      <c r="Q19" s="432" t="s">
        <v>73</v>
      </c>
      <c r="R19" s="426"/>
      <c r="S19" s="426"/>
      <c r="T19" s="426"/>
      <c r="U19" s="426"/>
      <c r="V19" s="427"/>
      <c r="W19" s="426"/>
      <c r="X19" s="426"/>
      <c r="Y19" s="426"/>
      <c r="Z19" s="426"/>
      <c r="AA19" s="426"/>
      <c r="AB19" s="426"/>
      <c r="AC19" s="426"/>
      <c r="AD19" s="426"/>
      <c r="AE19" s="426"/>
      <c r="AF19" s="426"/>
      <c r="AG19" s="426"/>
      <c r="AH19" s="426"/>
      <c r="AI19" s="426"/>
      <c r="AJ19" s="426"/>
      <c r="AK19" s="426"/>
      <c r="AL19" s="427"/>
      <c r="AM19" s="57"/>
      <c r="AN19" s="451" t="s">
        <v>80</v>
      </c>
      <c r="AO19" s="452"/>
      <c r="AP19" s="452"/>
      <c r="AQ19" s="452"/>
      <c r="AR19" s="452"/>
      <c r="AS19" s="453"/>
    </row>
    <row r="20" spans="4:45" x14ac:dyDescent="0.25">
      <c r="D20" s="429"/>
      <c r="E20" s="6" t="s">
        <v>74</v>
      </c>
      <c r="F20" s="2" t="s">
        <v>42</v>
      </c>
      <c r="G20" s="2" t="s">
        <v>43</v>
      </c>
      <c r="H20" s="2" t="s">
        <v>44</v>
      </c>
      <c r="I20" s="2" t="s">
        <v>45</v>
      </c>
      <c r="J20" s="2" t="s">
        <v>46</v>
      </c>
      <c r="K20" s="2" t="s">
        <v>47</v>
      </c>
      <c r="L20" s="2" t="s">
        <v>48</v>
      </c>
      <c r="M20" s="2" t="s">
        <v>49</v>
      </c>
      <c r="N20" s="2" t="s">
        <v>50</v>
      </c>
      <c r="O20" s="2" t="s">
        <v>51</v>
      </c>
      <c r="P20" s="2" t="s">
        <v>52</v>
      </c>
      <c r="Q20" s="2" t="s">
        <v>54</v>
      </c>
      <c r="R20" s="2" t="s">
        <v>53</v>
      </c>
      <c r="S20" s="2" t="s">
        <v>53</v>
      </c>
      <c r="T20" s="2" t="s">
        <v>53</v>
      </c>
      <c r="U20" s="2" t="s">
        <v>55</v>
      </c>
      <c r="V20" s="4" t="s">
        <v>55</v>
      </c>
      <c r="W20" s="2" t="s">
        <v>56</v>
      </c>
      <c r="X20" s="2" t="s">
        <v>56</v>
      </c>
      <c r="Y20" s="2" t="s">
        <v>57</v>
      </c>
      <c r="Z20" s="2" t="s">
        <v>57</v>
      </c>
      <c r="AA20" s="2" t="s">
        <v>58</v>
      </c>
      <c r="AB20" s="2" t="s">
        <v>59</v>
      </c>
      <c r="AC20" s="2" t="s">
        <v>60</v>
      </c>
      <c r="AD20" s="2" t="s">
        <v>61</v>
      </c>
      <c r="AE20" s="2" t="s">
        <v>62</v>
      </c>
      <c r="AF20" s="2" t="s">
        <v>63</v>
      </c>
      <c r="AG20" s="2" t="s">
        <v>64</v>
      </c>
      <c r="AH20" s="2" t="s">
        <v>65</v>
      </c>
      <c r="AI20" s="2" t="s">
        <v>75</v>
      </c>
      <c r="AJ20" s="2" t="s">
        <v>76</v>
      </c>
      <c r="AK20" s="2" t="s">
        <v>77</v>
      </c>
      <c r="AL20" s="4" t="s">
        <v>78</v>
      </c>
      <c r="AM20" s="57"/>
      <c r="AN20" s="56"/>
      <c r="AO20" s="2"/>
      <c r="AP20" s="2"/>
      <c r="AQ20" s="2"/>
      <c r="AR20" s="2"/>
      <c r="AS20" s="4"/>
    </row>
    <row r="21" spans="4:45" x14ac:dyDescent="0.25">
      <c r="D21" s="7"/>
      <c r="E21" s="6"/>
      <c r="F21" s="2"/>
      <c r="G21" s="2"/>
      <c r="H21" s="2"/>
      <c r="I21" s="2"/>
      <c r="J21" s="2"/>
      <c r="K21" s="2"/>
      <c r="L21" s="2"/>
      <c r="M21" s="2"/>
      <c r="N21" s="2"/>
      <c r="O21" s="2"/>
      <c r="P21" s="2"/>
      <c r="Q21" s="2"/>
      <c r="R21" s="2">
        <v>6</v>
      </c>
      <c r="S21" s="2">
        <v>7</v>
      </c>
      <c r="T21" s="2">
        <v>8</v>
      </c>
      <c r="U21" s="2">
        <v>8</v>
      </c>
      <c r="V21" s="4">
        <v>9</v>
      </c>
      <c r="W21" s="2">
        <v>8</v>
      </c>
      <c r="X21" s="2">
        <v>9</v>
      </c>
      <c r="Y21" s="2">
        <v>8</v>
      </c>
      <c r="Z21" s="2">
        <v>9</v>
      </c>
      <c r="AA21" s="2"/>
      <c r="AB21" s="2"/>
      <c r="AC21" s="2"/>
      <c r="AD21" s="2"/>
      <c r="AE21" s="2"/>
      <c r="AF21" s="2"/>
      <c r="AG21" s="2"/>
      <c r="AH21" s="2"/>
      <c r="AI21" s="2"/>
      <c r="AJ21" s="2"/>
      <c r="AK21" s="2"/>
      <c r="AL21" s="4"/>
      <c r="AM21" s="57"/>
      <c r="AN21" s="56">
        <v>3</v>
      </c>
      <c r="AO21" s="2">
        <v>4</v>
      </c>
      <c r="AP21" s="2">
        <v>5</v>
      </c>
      <c r="AQ21" s="2">
        <v>6</v>
      </c>
      <c r="AR21" s="2">
        <v>7</v>
      </c>
      <c r="AS21" s="4">
        <v>8</v>
      </c>
    </row>
    <row r="22" spans="4:45" x14ac:dyDescent="0.25">
      <c r="D22" s="55"/>
      <c r="E22" s="3">
        <v>3</v>
      </c>
      <c r="F22" s="3">
        <v>270</v>
      </c>
      <c r="G22" s="3">
        <v>140</v>
      </c>
      <c r="H22" s="3">
        <v>60</v>
      </c>
      <c r="I22" s="3">
        <v>34</v>
      </c>
      <c r="J22" s="3">
        <v>20</v>
      </c>
      <c r="K22" s="3">
        <v>14</v>
      </c>
      <c r="L22" s="3">
        <v>10</v>
      </c>
      <c r="M22" s="3">
        <v>6</v>
      </c>
      <c r="N22" s="3">
        <v>4</v>
      </c>
      <c r="O22" s="3">
        <v>2</v>
      </c>
      <c r="P22" s="3">
        <v>0</v>
      </c>
      <c r="Q22" s="3" t="s">
        <v>79</v>
      </c>
      <c r="R22" s="3">
        <v>2</v>
      </c>
      <c r="S22" s="3">
        <v>4</v>
      </c>
      <c r="T22" s="3">
        <v>6</v>
      </c>
      <c r="U22" s="3"/>
      <c r="V22" s="5">
        <v>0</v>
      </c>
      <c r="W22" s="3"/>
      <c r="X22" s="3">
        <v>-2</v>
      </c>
      <c r="Y22" s="3">
        <v>-4</v>
      </c>
      <c r="Z22" s="3">
        <v>-4</v>
      </c>
      <c r="AA22" s="3">
        <v>-6</v>
      </c>
      <c r="AB22" s="3">
        <v>-10</v>
      </c>
      <c r="AC22" s="3">
        <v>-14</v>
      </c>
      <c r="AD22" s="3"/>
      <c r="AE22" s="3">
        <v>-18</v>
      </c>
      <c r="AF22" s="3"/>
      <c r="AG22" s="3">
        <v>-20</v>
      </c>
      <c r="AH22" s="3"/>
      <c r="AI22" s="3">
        <v>-26</v>
      </c>
      <c r="AJ22" s="3">
        <v>-32</v>
      </c>
      <c r="AK22" s="3">
        <v>-40</v>
      </c>
      <c r="AL22" s="5">
        <v>-60</v>
      </c>
      <c r="AM22" s="58"/>
      <c r="AN22" s="55"/>
      <c r="AO22" s="3"/>
      <c r="AP22" s="3"/>
      <c r="AQ22" s="3"/>
      <c r="AR22" s="3"/>
      <c r="AS22" s="5"/>
    </row>
    <row r="23" spans="4:45" x14ac:dyDescent="0.25">
      <c r="D23" s="55">
        <v>3</v>
      </c>
      <c r="E23" s="3">
        <v>6</v>
      </c>
      <c r="F23" s="3">
        <v>270</v>
      </c>
      <c r="G23" s="3">
        <v>140</v>
      </c>
      <c r="H23" s="3">
        <v>70</v>
      </c>
      <c r="I23" s="3">
        <v>46</v>
      </c>
      <c r="J23" s="3">
        <v>30</v>
      </c>
      <c r="K23" s="3">
        <v>20</v>
      </c>
      <c r="L23" s="3">
        <v>14</v>
      </c>
      <c r="M23" s="3">
        <v>10</v>
      </c>
      <c r="N23" s="3">
        <v>6</v>
      </c>
      <c r="O23" s="3">
        <v>4</v>
      </c>
      <c r="P23" s="3">
        <v>0</v>
      </c>
      <c r="Q23" s="3" t="s">
        <v>79</v>
      </c>
      <c r="R23" s="3">
        <v>5</v>
      </c>
      <c r="S23" s="3">
        <v>6</v>
      </c>
      <c r="T23" s="3">
        <v>10</v>
      </c>
      <c r="U23" s="3"/>
      <c r="V23" s="5"/>
      <c r="W23" s="3"/>
      <c r="X23" s="3">
        <v>-4</v>
      </c>
      <c r="Y23" s="3">
        <v>-2</v>
      </c>
      <c r="Z23" s="3">
        <v>0</v>
      </c>
      <c r="AA23" s="3">
        <v>-12</v>
      </c>
      <c r="AB23" s="3">
        <v>-15</v>
      </c>
      <c r="AC23" s="3">
        <v>-19</v>
      </c>
      <c r="AD23" s="3"/>
      <c r="AE23" s="3">
        <v>-23</v>
      </c>
      <c r="AF23" s="3"/>
      <c r="AG23" s="3">
        <v>-28</v>
      </c>
      <c r="AH23" s="3"/>
      <c r="AI23" s="3">
        <v>-35</v>
      </c>
      <c r="AJ23" s="3">
        <v>-42</v>
      </c>
      <c r="AK23" s="3">
        <v>-50</v>
      </c>
      <c r="AL23" s="5">
        <v>-80</v>
      </c>
      <c r="AM23" s="58"/>
      <c r="AN23" s="55"/>
      <c r="AO23" s="3"/>
      <c r="AP23" s="3"/>
      <c r="AQ23" s="3"/>
      <c r="AR23" s="3"/>
      <c r="AS23" s="5"/>
    </row>
    <row r="24" spans="4:45" x14ac:dyDescent="0.25">
      <c r="D24" s="55">
        <v>6</v>
      </c>
      <c r="E24" s="3">
        <v>10</v>
      </c>
      <c r="F24" s="3">
        <v>280</v>
      </c>
      <c r="G24" s="3">
        <v>150</v>
      </c>
      <c r="H24" s="3">
        <v>80</v>
      </c>
      <c r="I24" s="3">
        <v>56</v>
      </c>
      <c r="J24" s="3">
        <v>40</v>
      </c>
      <c r="K24" s="3">
        <v>25</v>
      </c>
      <c r="L24" s="3">
        <v>18</v>
      </c>
      <c r="M24" s="3">
        <v>13</v>
      </c>
      <c r="N24" s="3">
        <v>8</v>
      </c>
      <c r="O24" s="3">
        <v>5</v>
      </c>
      <c r="P24" s="3">
        <v>0</v>
      </c>
      <c r="Q24" s="3" t="s">
        <v>79</v>
      </c>
      <c r="R24" s="3">
        <v>5</v>
      </c>
      <c r="S24" s="3">
        <v>8</v>
      </c>
      <c r="T24" s="3">
        <v>12</v>
      </c>
      <c r="U24" s="3"/>
      <c r="V24" s="5"/>
      <c r="W24" s="3"/>
      <c r="X24" s="3">
        <v>-6</v>
      </c>
      <c r="Y24" s="3">
        <v>-3</v>
      </c>
      <c r="Z24" s="3">
        <v>0</v>
      </c>
      <c r="AA24" s="3">
        <v>-15</v>
      </c>
      <c r="AB24" s="3">
        <v>-19</v>
      </c>
      <c r="AC24" s="3">
        <v>-23</v>
      </c>
      <c r="AD24" s="3"/>
      <c r="AE24" s="3">
        <v>-28</v>
      </c>
      <c r="AF24" s="3"/>
      <c r="AG24" s="3">
        <v>-34</v>
      </c>
      <c r="AH24" s="3"/>
      <c r="AI24" s="3">
        <v>-42</v>
      </c>
      <c r="AJ24" s="3">
        <v>-52</v>
      </c>
      <c r="AK24" s="3">
        <v>-67</v>
      </c>
      <c r="AL24" s="5">
        <v>-97</v>
      </c>
      <c r="AM24" s="58"/>
      <c r="AN24" s="55"/>
      <c r="AO24" s="3"/>
      <c r="AP24" s="3"/>
      <c r="AQ24" s="3"/>
      <c r="AR24" s="3"/>
      <c r="AS24" s="5"/>
    </row>
    <row r="25" spans="4:45" x14ac:dyDescent="0.25">
      <c r="D25" s="55">
        <v>10</v>
      </c>
      <c r="E25" s="3">
        <v>14</v>
      </c>
      <c r="F25" s="3">
        <v>290</v>
      </c>
      <c r="G25" s="3">
        <v>150</v>
      </c>
      <c r="H25" s="3">
        <v>95</v>
      </c>
      <c r="I25" s="3"/>
      <c r="J25" s="3">
        <v>50</v>
      </c>
      <c r="K25" s="3">
        <v>32</v>
      </c>
      <c r="L25" s="3"/>
      <c r="M25" s="3">
        <v>16</v>
      </c>
      <c r="N25" s="3"/>
      <c r="O25" s="3">
        <v>6</v>
      </c>
      <c r="P25" s="3">
        <v>0</v>
      </c>
      <c r="Q25" s="3" t="s">
        <v>79</v>
      </c>
      <c r="R25" s="3">
        <v>6</v>
      </c>
      <c r="S25" s="3">
        <v>10</v>
      </c>
      <c r="T25" s="3">
        <v>15</v>
      </c>
      <c r="U25" s="3"/>
      <c r="V25" s="5"/>
      <c r="W25" s="3"/>
      <c r="X25" s="3">
        <v>-7</v>
      </c>
      <c r="Y25" s="3">
        <v>-3</v>
      </c>
      <c r="Z25" s="3">
        <v>0</v>
      </c>
      <c r="AA25" s="3">
        <v>-18</v>
      </c>
      <c r="AB25" s="3">
        <v>-23</v>
      </c>
      <c r="AC25" s="3">
        <v>-28</v>
      </c>
      <c r="AD25" s="3"/>
      <c r="AE25" s="3">
        <v>-33</v>
      </c>
      <c r="AF25" s="3"/>
      <c r="AG25" s="3">
        <v>-40</v>
      </c>
      <c r="AH25" s="3"/>
      <c r="AI25" s="3">
        <v>-50</v>
      </c>
      <c r="AJ25" s="3">
        <v>-64</v>
      </c>
      <c r="AK25" s="3">
        <v>-90</v>
      </c>
      <c r="AL25" s="5">
        <v>-130</v>
      </c>
      <c r="AM25" s="58"/>
      <c r="AN25" s="55"/>
      <c r="AO25" s="3"/>
      <c r="AP25" s="3"/>
      <c r="AQ25" s="3"/>
      <c r="AR25" s="3"/>
      <c r="AS25" s="5"/>
    </row>
    <row r="26" spans="4:45" x14ac:dyDescent="0.25">
      <c r="D26" s="55">
        <v>14</v>
      </c>
      <c r="E26" s="3">
        <v>18</v>
      </c>
      <c r="F26" s="3">
        <v>290</v>
      </c>
      <c r="G26" s="3">
        <v>150</v>
      </c>
      <c r="H26" s="3">
        <v>95</v>
      </c>
      <c r="I26" s="3"/>
      <c r="J26" s="3">
        <v>50</v>
      </c>
      <c r="K26" s="3">
        <v>32</v>
      </c>
      <c r="L26" s="3"/>
      <c r="M26" s="3">
        <v>16</v>
      </c>
      <c r="N26" s="3"/>
      <c r="O26" s="3">
        <v>6</v>
      </c>
      <c r="P26" s="3">
        <v>0</v>
      </c>
      <c r="Q26" s="3" t="s">
        <v>79</v>
      </c>
      <c r="R26" s="3">
        <v>6</v>
      </c>
      <c r="S26" s="3">
        <v>10</v>
      </c>
      <c r="T26" s="3">
        <v>15</v>
      </c>
      <c r="U26" s="3"/>
      <c r="V26" s="5"/>
      <c r="W26" s="3"/>
      <c r="X26" s="3">
        <v>-7</v>
      </c>
      <c r="Y26" s="3">
        <v>-3</v>
      </c>
      <c r="Z26" s="3">
        <v>0</v>
      </c>
      <c r="AA26" s="3">
        <v>-18</v>
      </c>
      <c r="AB26" s="3">
        <v>-23</v>
      </c>
      <c r="AC26" s="3">
        <v>-28</v>
      </c>
      <c r="AD26" s="3"/>
      <c r="AE26" s="3">
        <v>-33</v>
      </c>
      <c r="AF26" s="3">
        <v>-39</v>
      </c>
      <c r="AG26" s="3">
        <v>-45</v>
      </c>
      <c r="AH26" s="3"/>
      <c r="AI26" s="3">
        <v>-60</v>
      </c>
      <c r="AJ26" s="3">
        <v>-77</v>
      </c>
      <c r="AK26" s="3">
        <v>-108</v>
      </c>
      <c r="AL26" s="5">
        <v>-150</v>
      </c>
      <c r="AM26" s="58"/>
      <c r="AN26" s="55"/>
      <c r="AO26" s="3"/>
      <c r="AP26" s="3"/>
      <c r="AQ26" s="3"/>
      <c r="AR26" s="3"/>
      <c r="AS26" s="5"/>
    </row>
    <row r="27" spans="4:45" x14ac:dyDescent="0.25">
      <c r="D27" s="55">
        <v>18</v>
      </c>
      <c r="E27" s="3">
        <v>24</v>
      </c>
      <c r="F27" s="3">
        <v>300</v>
      </c>
      <c r="G27" s="3">
        <v>160</v>
      </c>
      <c r="H27" s="3">
        <v>110</v>
      </c>
      <c r="I27" s="3"/>
      <c r="J27" s="3">
        <v>65</v>
      </c>
      <c r="K27" s="3">
        <v>40</v>
      </c>
      <c r="L27" s="3"/>
      <c r="M27" s="3">
        <v>20</v>
      </c>
      <c r="N27" s="3"/>
      <c r="O27" s="3">
        <v>7</v>
      </c>
      <c r="P27" s="3">
        <v>0</v>
      </c>
      <c r="Q27" s="3" t="s">
        <v>79</v>
      </c>
      <c r="R27" s="3">
        <v>8</v>
      </c>
      <c r="S27" s="3">
        <v>12</v>
      </c>
      <c r="T27" s="3">
        <v>20</v>
      </c>
      <c r="U27" s="3"/>
      <c r="V27" s="5"/>
      <c r="W27" s="3"/>
      <c r="X27" s="3">
        <v>-8</v>
      </c>
      <c r="Y27" s="3">
        <v>-3</v>
      </c>
      <c r="Z27" s="3">
        <v>0</v>
      </c>
      <c r="AA27" s="3">
        <v>-22</v>
      </c>
      <c r="AB27" s="3">
        <v>-28</v>
      </c>
      <c r="AC27" s="3">
        <v>-35</v>
      </c>
      <c r="AD27" s="3"/>
      <c r="AE27" s="3">
        <v>-41</v>
      </c>
      <c r="AF27" s="3">
        <v>-47</v>
      </c>
      <c r="AG27" s="3">
        <v>-54</v>
      </c>
      <c r="AH27" s="3">
        <v>-63</v>
      </c>
      <c r="AI27" s="3">
        <v>-73</v>
      </c>
      <c r="AJ27" s="3">
        <v>-98</v>
      </c>
      <c r="AK27" s="3">
        <v>-136</v>
      </c>
      <c r="AL27" s="5">
        <v>-188</v>
      </c>
      <c r="AM27" s="58"/>
      <c r="AN27" s="55"/>
      <c r="AO27" s="3"/>
      <c r="AP27" s="3"/>
      <c r="AQ27" s="3"/>
      <c r="AR27" s="3"/>
      <c r="AS27" s="5"/>
    </row>
    <row r="28" spans="4:45" x14ac:dyDescent="0.25">
      <c r="D28" s="55">
        <v>24</v>
      </c>
      <c r="E28" s="3">
        <v>30</v>
      </c>
      <c r="F28" s="3">
        <v>300</v>
      </c>
      <c r="G28" s="3">
        <v>160</v>
      </c>
      <c r="H28" s="3">
        <v>110</v>
      </c>
      <c r="I28" s="3"/>
      <c r="J28" s="3">
        <v>65</v>
      </c>
      <c r="K28" s="3">
        <v>40</v>
      </c>
      <c r="L28" s="3"/>
      <c r="M28" s="3">
        <v>20</v>
      </c>
      <c r="N28" s="3"/>
      <c r="O28" s="3">
        <v>7</v>
      </c>
      <c r="P28" s="3">
        <v>0</v>
      </c>
      <c r="Q28" s="3" t="s">
        <v>79</v>
      </c>
      <c r="R28" s="3">
        <v>8</v>
      </c>
      <c r="S28" s="3">
        <v>12</v>
      </c>
      <c r="T28" s="3">
        <v>20</v>
      </c>
      <c r="U28" s="3"/>
      <c r="V28" s="5"/>
      <c r="W28" s="3"/>
      <c r="X28" s="3">
        <v>-8</v>
      </c>
      <c r="Y28" s="3">
        <v>-3</v>
      </c>
      <c r="Z28" s="3">
        <v>0</v>
      </c>
      <c r="AA28" s="3">
        <v>-22</v>
      </c>
      <c r="AB28" s="3">
        <v>-28</v>
      </c>
      <c r="AC28" s="3">
        <v>-35</v>
      </c>
      <c r="AD28" s="3">
        <v>-41</v>
      </c>
      <c r="AE28" s="3">
        <v>-48</v>
      </c>
      <c r="AF28" s="3">
        <v>-55</v>
      </c>
      <c r="AG28" s="3">
        <v>-64</v>
      </c>
      <c r="AH28" s="3">
        <v>-75</v>
      </c>
      <c r="AI28" s="3">
        <v>-88</v>
      </c>
      <c r="AJ28" s="3">
        <v>-118</v>
      </c>
      <c r="AK28" s="3">
        <v>-160</v>
      </c>
      <c r="AL28" s="5">
        <v>-218</v>
      </c>
      <c r="AM28" s="58"/>
      <c r="AN28" s="55"/>
      <c r="AO28" s="3"/>
      <c r="AP28" s="3"/>
      <c r="AQ28" s="3"/>
      <c r="AR28" s="3"/>
      <c r="AS28" s="5"/>
    </row>
    <row r="29" spans="4:45" x14ac:dyDescent="0.25">
      <c r="D29" s="55">
        <v>30</v>
      </c>
      <c r="E29" s="3">
        <v>40</v>
      </c>
      <c r="F29" s="3">
        <v>310</v>
      </c>
      <c r="G29" s="3">
        <v>170</v>
      </c>
      <c r="H29" s="3">
        <v>120</v>
      </c>
      <c r="I29" s="3"/>
      <c r="J29" s="3">
        <v>80</v>
      </c>
      <c r="K29" s="3">
        <v>50</v>
      </c>
      <c r="L29" s="3"/>
      <c r="M29" s="3">
        <v>25</v>
      </c>
      <c r="N29" s="3"/>
      <c r="O29" s="3">
        <v>9</v>
      </c>
      <c r="P29" s="3">
        <v>0</v>
      </c>
      <c r="Q29" s="3" t="s">
        <v>79</v>
      </c>
      <c r="R29" s="3">
        <v>10</v>
      </c>
      <c r="S29" s="3">
        <v>14</v>
      </c>
      <c r="T29" s="3">
        <v>24</v>
      </c>
      <c r="U29" s="3"/>
      <c r="V29" s="5"/>
      <c r="W29" s="3"/>
      <c r="X29" s="3">
        <v>-9</v>
      </c>
      <c r="Y29" s="3">
        <v>-3</v>
      </c>
      <c r="Z29" s="3">
        <v>0</v>
      </c>
      <c r="AA29" s="3">
        <v>-26</v>
      </c>
      <c r="AB29" s="3">
        <v>-34</v>
      </c>
      <c r="AC29" s="3">
        <v>-43</v>
      </c>
      <c r="AD29" s="3">
        <v>-48</v>
      </c>
      <c r="AE29" s="3">
        <v>-60</v>
      </c>
      <c r="AF29" s="3">
        <v>-68</v>
      </c>
      <c r="AG29" s="3">
        <v>-80</v>
      </c>
      <c r="AH29" s="3">
        <v>-94</v>
      </c>
      <c r="AI29" s="3">
        <v>-112</v>
      </c>
      <c r="AJ29" s="3">
        <v>-148</v>
      </c>
      <c r="AK29" s="3">
        <v>-200</v>
      </c>
      <c r="AL29" s="5">
        <v>-274</v>
      </c>
      <c r="AM29" s="58"/>
      <c r="AN29" s="55"/>
      <c r="AO29" s="3"/>
      <c r="AP29" s="3"/>
      <c r="AQ29" s="3"/>
      <c r="AR29" s="3"/>
      <c r="AS29" s="5"/>
    </row>
    <row r="30" spans="4:45" x14ac:dyDescent="0.25">
      <c r="D30" s="55">
        <v>40</v>
      </c>
      <c r="E30" s="3">
        <v>50</v>
      </c>
      <c r="F30" s="3">
        <v>320</v>
      </c>
      <c r="G30" s="3">
        <v>180</v>
      </c>
      <c r="H30" s="3">
        <v>130</v>
      </c>
      <c r="I30" s="3"/>
      <c r="J30" s="3">
        <v>80</v>
      </c>
      <c r="K30" s="3">
        <v>50</v>
      </c>
      <c r="L30" s="3"/>
      <c r="M30" s="3">
        <v>25</v>
      </c>
      <c r="N30" s="3"/>
      <c r="O30" s="3">
        <v>9</v>
      </c>
      <c r="P30" s="3">
        <v>0</v>
      </c>
      <c r="Q30" s="3" t="s">
        <v>79</v>
      </c>
      <c r="R30" s="3">
        <v>10</v>
      </c>
      <c r="S30" s="3">
        <v>14</v>
      </c>
      <c r="T30" s="3">
        <v>24</v>
      </c>
      <c r="U30" s="3"/>
      <c r="V30" s="5"/>
      <c r="W30" s="3"/>
      <c r="X30" s="3">
        <v>-9</v>
      </c>
      <c r="Y30" s="3">
        <v>-3</v>
      </c>
      <c r="Z30" s="3">
        <v>0</v>
      </c>
      <c r="AA30" s="3">
        <v>-26</v>
      </c>
      <c r="AB30" s="3">
        <v>-34</v>
      </c>
      <c r="AC30" s="3">
        <v>-43</v>
      </c>
      <c r="AD30" s="3">
        <v>-54</v>
      </c>
      <c r="AE30" s="3">
        <v>-70</v>
      </c>
      <c r="AF30" s="3">
        <v>-81</v>
      </c>
      <c r="AG30" s="3">
        <v>-97</v>
      </c>
      <c r="AH30" s="3">
        <v>-114</v>
      </c>
      <c r="AI30" s="3">
        <v>-136</v>
      </c>
      <c r="AJ30" s="3">
        <v>-180</v>
      </c>
      <c r="AK30" s="3">
        <v>-242</v>
      </c>
      <c r="AL30" s="5">
        <v>-325</v>
      </c>
      <c r="AM30" s="58"/>
      <c r="AN30" s="55"/>
      <c r="AO30" s="3"/>
      <c r="AP30" s="3"/>
      <c r="AQ30" s="3"/>
      <c r="AR30" s="3"/>
      <c r="AS30" s="5"/>
    </row>
    <row r="31" spans="4:45" x14ac:dyDescent="0.25">
      <c r="D31" s="55">
        <v>50</v>
      </c>
      <c r="E31" s="3">
        <v>65</v>
      </c>
      <c r="F31" s="3">
        <v>340</v>
      </c>
      <c r="G31" s="3">
        <v>190</v>
      </c>
      <c r="H31" s="3">
        <v>140</v>
      </c>
      <c r="I31" s="3"/>
      <c r="J31" s="3">
        <v>100</v>
      </c>
      <c r="K31" s="3">
        <v>60</v>
      </c>
      <c r="L31" s="3"/>
      <c r="M31" s="3">
        <v>30</v>
      </c>
      <c r="N31" s="3"/>
      <c r="O31" s="3">
        <v>10</v>
      </c>
      <c r="P31" s="3">
        <v>0</v>
      </c>
      <c r="Q31" s="3" t="s">
        <v>79</v>
      </c>
      <c r="R31" s="3">
        <v>13</v>
      </c>
      <c r="S31" s="3">
        <v>18</v>
      </c>
      <c r="T31" s="3">
        <v>28</v>
      </c>
      <c r="U31" s="3"/>
      <c r="V31" s="5"/>
      <c r="W31" s="3"/>
      <c r="X31" s="3">
        <v>-11</v>
      </c>
      <c r="Y31" s="3">
        <v>-4</v>
      </c>
      <c r="Z31" s="3">
        <v>0</v>
      </c>
      <c r="AA31" s="3">
        <v>-32</v>
      </c>
      <c r="AB31" s="3">
        <v>-41</v>
      </c>
      <c r="AC31" s="3">
        <v>-53</v>
      </c>
      <c r="AD31" s="3">
        <v>-66</v>
      </c>
      <c r="AE31" s="3">
        <v>-87</v>
      </c>
      <c r="AF31" s="3">
        <v>-102</v>
      </c>
      <c r="AG31" s="3">
        <v>-122</v>
      </c>
      <c r="AH31" s="3">
        <v>-144</v>
      </c>
      <c r="AI31" s="3">
        <v>-172</v>
      </c>
      <c r="AJ31" s="3">
        <v>-226</v>
      </c>
      <c r="AK31" s="3">
        <v>-300</v>
      </c>
      <c r="AL31" s="5">
        <v>-405</v>
      </c>
      <c r="AM31" s="58"/>
      <c r="AN31" s="55"/>
      <c r="AO31" s="3"/>
      <c r="AP31" s="3"/>
      <c r="AQ31" s="3"/>
      <c r="AR31" s="3"/>
      <c r="AS31" s="5"/>
    </row>
    <row r="32" spans="4:45" x14ac:dyDescent="0.25">
      <c r="D32" s="55">
        <v>65</v>
      </c>
      <c r="E32" s="3">
        <v>80</v>
      </c>
      <c r="F32" s="3">
        <v>360</v>
      </c>
      <c r="G32" s="3">
        <v>200</v>
      </c>
      <c r="H32" s="3">
        <v>150</v>
      </c>
      <c r="I32" s="3"/>
      <c r="J32" s="3">
        <v>100</v>
      </c>
      <c r="K32" s="3">
        <v>60</v>
      </c>
      <c r="L32" s="3"/>
      <c r="M32" s="3">
        <v>30</v>
      </c>
      <c r="N32" s="3"/>
      <c r="O32" s="3">
        <v>10</v>
      </c>
      <c r="P32" s="3">
        <v>0</v>
      </c>
      <c r="Q32" s="3" t="s">
        <v>79</v>
      </c>
      <c r="R32" s="3">
        <v>13</v>
      </c>
      <c r="S32" s="3">
        <v>18</v>
      </c>
      <c r="T32" s="3">
        <v>28</v>
      </c>
      <c r="U32" s="3"/>
      <c r="V32" s="5"/>
      <c r="W32" s="3"/>
      <c r="X32" s="3">
        <v>-11</v>
      </c>
      <c r="Y32" s="3">
        <v>-4</v>
      </c>
      <c r="Z32" s="3">
        <v>0</v>
      </c>
      <c r="AA32" s="3">
        <v>-32</v>
      </c>
      <c r="AB32" s="3">
        <v>-43</v>
      </c>
      <c r="AC32" s="3">
        <v>-59</v>
      </c>
      <c r="AD32" s="3">
        <v>-75</v>
      </c>
      <c r="AE32" s="3">
        <v>-102</v>
      </c>
      <c r="AF32" s="3">
        <v>-120</v>
      </c>
      <c r="AG32" s="3">
        <v>-146</v>
      </c>
      <c r="AH32" s="3">
        <v>-174</v>
      </c>
      <c r="AI32" s="3">
        <v>-210</v>
      </c>
      <c r="AJ32" s="3">
        <v>-274</v>
      </c>
      <c r="AK32" s="3">
        <v>-360</v>
      </c>
      <c r="AL32" s="5">
        <v>-490</v>
      </c>
      <c r="AM32" s="58"/>
      <c r="AN32" s="55"/>
      <c r="AO32" s="3"/>
      <c r="AP32" s="3"/>
      <c r="AQ32" s="3"/>
      <c r="AR32" s="3"/>
      <c r="AS32" s="5"/>
    </row>
    <row r="33" spans="4:45" x14ac:dyDescent="0.25">
      <c r="D33" s="55">
        <v>80</v>
      </c>
      <c r="E33" s="3">
        <v>100</v>
      </c>
      <c r="F33" s="3">
        <v>380</v>
      </c>
      <c r="G33" s="3">
        <v>220</v>
      </c>
      <c r="H33" s="3">
        <v>170</v>
      </c>
      <c r="I33" s="3"/>
      <c r="J33" s="3">
        <v>120</v>
      </c>
      <c r="K33" s="3">
        <v>72</v>
      </c>
      <c r="L33" s="3"/>
      <c r="M33" s="3">
        <v>36</v>
      </c>
      <c r="N33" s="3"/>
      <c r="O33" s="3">
        <v>12</v>
      </c>
      <c r="P33" s="3">
        <v>0</v>
      </c>
      <c r="Q33" s="3" t="s">
        <v>79</v>
      </c>
      <c r="R33" s="3">
        <v>16</v>
      </c>
      <c r="S33" s="3">
        <v>22</v>
      </c>
      <c r="T33" s="3">
        <v>34</v>
      </c>
      <c r="U33" s="3"/>
      <c r="V33" s="5"/>
      <c r="W33" s="3"/>
      <c r="X33" s="3">
        <v>-13</v>
      </c>
      <c r="Y33" s="3">
        <v>-4</v>
      </c>
      <c r="Z33" s="3">
        <v>0</v>
      </c>
      <c r="AA33" s="3">
        <v>-37</v>
      </c>
      <c r="AB33" s="3">
        <v>-51</v>
      </c>
      <c r="AC33" s="3">
        <v>-71</v>
      </c>
      <c r="AD33" s="3">
        <v>-91</v>
      </c>
      <c r="AE33" s="3">
        <v>-124</v>
      </c>
      <c r="AF33" s="3">
        <v>-146</v>
      </c>
      <c r="AG33" s="3">
        <v>-178</v>
      </c>
      <c r="AH33" s="3">
        <v>-214</v>
      </c>
      <c r="AI33" s="3">
        <v>-258</v>
      </c>
      <c r="AJ33" s="3">
        <v>-335</v>
      </c>
      <c r="AK33" s="3">
        <v>-445</v>
      </c>
      <c r="AL33" s="5">
        <v>-585</v>
      </c>
      <c r="AM33" s="58"/>
      <c r="AN33" s="55"/>
      <c r="AO33" s="3"/>
      <c r="AP33" s="3"/>
      <c r="AQ33" s="3"/>
      <c r="AR33" s="3"/>
      <c r="AS33" s="5"/>
    </row>
    <row r="34" spans="4:45" x14ac:dyDescent="0.25">
      <c r="D34" s="55">
        <v>100</v>
      </c>
      <c r="E34" s="3">
        <v>120</v>
      </c>
      <c r="F34" s="3">
        <v>410</v>
      </c>
      <c r="G34" s="3">
        <v>240</v>
      </c>
      <c r="H34" s="3">
        <v>180</v>
      </c>
      <c r="I34" s="3"/>
      <c r="J34" s="3">
        <v>120</v>
      </c>
      <c r="K34" s="3">
        <v>72</v>
      </c>
      <c r="L34" s="3"/>
      <c r="M34" s="3">
        <v>36</v>
      </c>
      <c r="N34" s="3"/>
      <c r="O34" s="3">
        <v>12</v>
      </c>
      <c r="P34" s="3">
        <v>0</v>
      </c>
      <c r="Q34" s="3" t="s">
        <v>79</v>
      </c>
      <c r="R34" s="3">
        <v>16</v>
      </c>
      <c r="S34" s="3">
        <v>22</v>
      </c>
      <c r="T34" s="3">
        <v>34</v>
      </c>
      <c r="U34" s="3"/>
      <c r="V34" s="5"/>
      <c r="W34" s="3"/>
      <c r="X34" s="3">
        <v>-13</v>
      </c>
      <c r="Y34" s="3">
        <v>-4</v>
      </c>
      <c r="Z34" s="3">
        <v>0</v>
      </c>
      <c r="AA34" s="3">
        <v>-37</v>
      </c>
      <c r="AB34" s="3">
        <v>-54</v>
      </c>
      <c r="AC34" s="3">
        <v>-79</v>
      </c>
      <c r="AD34" s="3">
        <v>-104</v>
      </c>
      <c r="AE34" s="3">
        <v>-144</v>
      </c>
      <c r="AF34" s="3">
        <v>-172</v>
      </c>
      <c r="AG34" s="3">
        <v>-210</v>
      </c>
      <c r="AH34" s="3">
        <v>-254</v>
      </c>
      <c r="AI34" s="3">
        <v>-310</v>
      </c>
      <c r="AJ34" s="3">
        <v>-400</v>
      </c>
      <c r="AK34" s="3">
        <v>-525</v>
      </c>
      <c r="AL34" s="5">
        <v>-690</v>
      </c>
      <c r="AM34" s="58"/>
      <c r="AN34" s="55"/>
      <c r="AO34" s="3"/>
      <c r="AP34" s="3"/>
      <c r="AQ34" s="3"/>
      <c r="AR34" s="3"/>
      <c r="AS34" s="5"/>
    </row>
    <row r="35" spans="4:45" x14ac:dyDescent="0.25">
      <c r="D35" s="55">
        <v>120</v>
      </c>
      <c r="E35" s="3">
        <v>140</v>
      </c>
      <c r="F35" s="3">
        <v>460</v>
      </c>
      <c r="G35" s="3">
        <v>260</v>
      </c>
      <c r="H35" s="3">
        <v>200</v>
      </c>
      <c r="I35" s="3"/>
      <c r="J35" s="3">
        <v>145</v>
      </c>
      <c r="K35" s="3">
        <v>85</v>
      </c>
      <c r="L35" s="3"/>
      <c r="M35" s="3">
        <v>43</v>
      </c>
      <c r="N35" s="3"/>
      <c r="O35" s="3">
        <v>14</v>
      </c>
      <c r="P35" s="3">
        <v>0</v>
      </c>
      <c r="Q35" s="3" t="s">
        <v>79</v>
      </c>
      <c r="R35" s="3">
        <v>18</v>
      </c>
      <c r="S35" s="3">
        <v>26</v>
      </c>
      <c r="T35" s="3">
        <v>41</v>
      </c>
      <c r="U35" s="3"/>
      <c r="V35" s="5"/>
      <c r="W35" s="3"/>
      <c r="X35" s="3">
        <v>-15</v>
      </c>
      <c r="Y35" s="3">
        <v>-4</v>
      </c>
      <c r="Z35" s="3">
        <v>0</v>
      </c>
      <c r="AA35" s="3">
        <v>-43</v>
      </c>
      <c r="AB35" s="3">
        <v>-63</v>
      </c>
      <c r="AC35" s="3">
        <v>-92</v>
      </c>
      <c r="AD35" s="3">
        <v>-122</v>
      </c>
      <c r="AE35" s="3">
        <v>-170</v>
      </c>
      <c r="AF35" s="3">
        <v>-202</v>
      </c>
      <c r="AG35" s="3">
        <v>-248</v>
      </c>
      <c r="AH35" s="3">
        <v>-300</v>
      </c>
      <c r="AI35" s="3">
        <v>-365</v>
      </c>
      <c r="AJ35" s="3">
        <v>-470</v>
      </c>
      <c r="AK35" s="3">
        <v>-620</v>
      </c>
      <c r="AL35" s="5">
        <v>-800</v>
      </c>
      <c r="AM35" s="58"/>
      <c r="AN35" s="55"/>
      <c r="AO35" s="3"/>
      <c r="AP35" s="3"/>
      <c r="AQ35" s="3"/>
      <c r="AR35" s="3"/>
      <c r="AS35" s="5"/>
    </row>
    <row r="36" spans="4:45" x14ac:dyDescent="0.25">
      <c r="D36" s="55">
        <v>140</v>
      </c>
      <c r="E36" s="3">
        <v>160</v>
      </c>
      <c r="F36" s="3">
        <v>520</v>
      </c>
      <c r="G36" s="3">
        <v>280</v>
      </c>
      <c r="H36" s="3">
        <v>210</v>
      </c>
      <c r="I36" s="3"/>
      <c r="J36" s="3">
        <v>145</v>
      </c>
      <c r="K36" s="3">
        <v>85</v>
      </c>
      <c r="L36" s="3"/>
      <c r="M36" s="3">
        <v>43</v>
      </c>
      <c r="N36" s="3"/>
      <c r="O36" s="3">
        <v>14</v>
      </c>
      <c r="P36" s="3">
        <v>0</v>
      </c>
      <c r="Q36" s="3" t="s">
        <v>79</v>
      </c>
      <c r="R36" s="3">
        <v>18</v>
      </c>
      <c r="S36" s="3">
        <v>26</v>
      </c>
      <c r="T36" s="3">
        <v>41</v>
      </c>
      <c r="U36" s="3"/>
      <c r="V36" s="5"/>
      <c r="W36" s="3"/>
      <c r="X36" s="3">
        <v>-15</v>
      </c>
      <c r="Y36" s="3">
        <v>-4</v>
      </c>
      <c r="Z36" s="3">
        <v>0</v>
      </c>
      <c r="AA36" s="3">
        <v>-43</v>
      </c>
      <c r="AB36" s="3">
        <v>-65</v>
      </c>
      <c r="AC36" s="3">
        <v>-100</v>
      </c>
      <c r="AD36" s="3">
        <v>-134</v>
      </c>
      <c r="AE36" s="3">
        <v>-190</v>
      </c>
      <c r="AF36" s="3">
        <v>-228</v>
      </c>
      <c r="AG36" s="3">
        <v>-280</v>
      </c>
      <c r="AH36" s="3">
        <v>-340</v>
      </c>
      <c r="AI36" s="3">
        <v>-415</v>
      </c>
      <c r="AJ36" s="3">
        <v>-535</v>
      </c>
      <c r="AK36" s="3">
        <v>-700</v>
      </c>
      <c r="AL36" s="5">
        <v>-900</v>
      </c>
      <c r="AM36" s="58"/>
      <c r="AN36" s="55"/>
      <c r="AO36" s="3"/>
      <c r="AP36" s="3"/>
      <c r="AQ36" s="3"/>
      <c r="AR36" s="3"/>
      <c r="AS36" s="5"/>
    </row>
    <row r="37" spans="4:45" x14ac:dyDescent="0.25">
      <c r="D37" s="55">
        <v>160</v>
      </c>
      <c r="E37" s="3">
        <v>180</v>
      </c>
      <c r="F37" s="3">
        <v>580</v>
      </c>
      <c r="G37" s="3">
        <v>310</v>
      </c>
      <c r="H37" s="3">
        <v>230</v>
      </c>
      <c r="I37" s="3"/>
      <c r="J37" s="3">
        <v>145</v>
      </c>
      <c r="K37" s="3">
        <v>85</v>
      </c>
      <c r="L37" s="3"/>
      <c r="M37" s="3">
        <v>43</v>
      </c>
      <c r="N37" s="3"/>
      <c r="O37" s="3">
        <v>14</v>
      </c>
      <c r="P37" s="3">
        <v>0</v>
      </c>
      <c r="Q37" s="3" t="s">
        <v>79</v>
      </c>
      <c r="R37" s="3">
        <v>18</v>
      </c>
      <c r="S37" s="3">
        <v>26</v>
      </c>
      <c r="T37" s="3">
        <v>41</v>
      </c>
      <c r="U37" s="3"/>
      <c r="V37" s="5"/>
      <c r="W37" s="3"/>
      <c r="X37" s="3">
        <v>-15</v>
      </c>
      <c r="Y37" s="3">
        <v>-4</v>
      </c>
      <c r="Z37" s="3">
        <v>0</v>
      </c>
      <c r="AA37" s="3">
        <v>-43</v>
      </c>
      <c r="AB37" s="3">
        <v>-68</v>
      </c>
      <c r="AC37" s="3">
        <v>-108</v>
      </c>
      <c r="AD37" s="3">
        <v>-146</v>
      </c>
      <c r="AE37" s="3">
        <v>-210</v>
      </c>
      <c r="AF37" s="3">
        <v>-252</v>
      </c>
      <c r="AG37" s="3">
        <v>-310</v>
      </c>
      <c r="AH37" s="3">
        <v>-380</v>
      </c>
      <c r="AI37" s="3">
        <v>-465</v>
      </c>
      <c r="AJ37" s="3">
        <v>-600</v>
      </c>
      <c r="AK37" s="3">
        <v>-780</v>
      </c>
      <c r="AL37" s="5">
        <v>-1000</v>
      </c>
      <c r="AM37" s="58"/>
      <c r="AN37" s="55"/>
      <c r="AO37" s="3"/>
      <c r="AP37" s="3"/>
      <c r="AQ37" s="3"/>
      <c r="AR37" s="3"/>
      <c r="AS37" s="5"/>
    </row>
    <row r="38" spans="4:45" x14ac:dyDescent="0.25">
      <c r="D38" s="55">
        <v>180</v>
      </c>
      <c r="E38" s="3">
        <v>200</v>
      </c>
      <c r="F38" s="3">
        <v>660</v>
      </c>
      <c r="G38" s="3">
        <v>340</v>
      </c>
      <c r="H38" s="3">
        <v>240</v>
      </c>
      <c r="I38" s="3"/>
      <c r="J38" s="3">
        <v>170</v>
      </c>
      <c r="K38" s="3">
        <v>100</v>
      </c>
      <c r="L38" s="3"/>
      <c r="M38" s="3">
        <v>50</v>
      </c>
      <c r="N38" s="3"/>
      <c r="O38" s="3">
        <v>15</v>
      </c>
      <c r="P38" s="3">
        <v>0</v>
      </c>
      <c r="Q38" s="3" t="s">
        <v>79</v>
      </c>
      <c r="R38" s="3">
        <v>22</v>
      </c>
      <c r="S38" s="3">
        <v>30</v>
      </c>
      <c r="T38" s="3">
        <v>47</v>
      </c>
      <c r="U38" s="3"/>
      <c r="V38" s="5"/>
      <c r="W38" s="3"/>
      <c r="X38" s="3">
        <v>-17</v>
      </c>
      <c r="Y38" s="3">
        <v>-5</v>
      </c>
      <c r="Z38" s="3">
        <v>0</v>
      </c>
      <c r="AA38" s="3">
        <v>-50</v>
      </c>
      <c r="AB38" s="3">
        <v>-77</v>
      </c>
      <c r="AC38" s="3">
        <v>-122</v>
      </c>
      <c r="AD38" s="3">
        <v>-166</v>
      </c>
      <c r="AE38" s="3">
        <v>-236</v>
      </c>
      <c r="AF38" s="3">
        <v>-284</v>
      </c>
      <c r="AG38" s="3">
        <v>-340</v>
      </c>
      <c r="AH38" s="3">
        <v>-425</v>
      </c>
      <c r="AI38" s="3">
        <v>-520</v>
      </c>
      <c r="AJ38" s="3">
        <v>-670</v>
      </c>
      <c r="AK38" s="3">
        <v>-880</v>
      </c>
      <c r="AL38" s="5">
        <v>-1150</v>
      </c>
      <c r="AM38" s="58"/>
      <c r="AN38" s="55"/>
      <c r="AO38" s="3"/>
      <c r="AP38" s="3"/>
      <c r="AQ38" s="3"/>
      <c r="AR38" s="3"/>
      <c r="AS38" s="5"/>
    </row>
    <row r="39" spans="4:45" x14ac:dyDescent="0.25">
      <c r="D39" s="55">
        <v>200</v>
      </c>
      <c r="E39" s="3">
        <v>225</v>
      </c>
      <c r="F39" s="3">
        <v>740</v>
      </c>
      <c r="G39" s="3">
        <v>380</v>
      </c>
      <c r="H39" s="3">
        <v>260</v>
      </c>
      <c r="I39" s="3"/>
      <c r="J39" s="3">
        <v>170</v>
      </c>
      <c r="K39" s="3">
        <v>100</v>
      </c>
      <c r="L39" s="3"/>
      <c r="M39" s="3">
        <v>50</v>
      </c>
      <c r="N39" s="3"/>
      <c r="O39" s="3">
        <v>15</v>
      </c>
      <c r="P39" s="3">
        <v>0</v>
      </c>
      <c r="Q39" s="3" t="s">
        <v>79</v>
      </c>
      <c r="R39" s="3">
        <v>22</v>
      </c>
      <c r="S39" s="3">
        <v>30</v>
      </c>
      <c r="T39" s="3">
        <v>47</v>
      </c>
      <c r="U39" s="3"/>
      <c r="V39" s="5"/>
      <c r="W39" s="3"/>
      <c r="X39" s="3">
        <v>-17</v>
      </c>
      <c r="Y39" s="3">
        <v>-5</v>
      </c>
      <c r="Z39" s="3">
        <v>0</v>
      </c>
      <c r="AA39" s="3">
        <v>-50</v>
      </c>
      <c r="AB39" s="3">
        <v>-80</v>
      </c>
      <c r="AC39" s="3">
        <v>-130</v>
      </c>
      <c r="AD39" s="3">
        <v>-180</v>
      </c>
      <c r="AE39" s="3">
        <v>-258</v>
      </c>
      <c r="AF39" s="3">
        <v>-310</v>
      </c>
      <c r="AG39" s="3">
        <v>-385</v>
      </c>
      <c r="AH39" s="3">
        <v>-470</v>
      </c>
      <c r="AI39" s="3">
        <v>-575</v>
      </c>
      <c r="AJ39" s="3">
        <v>-740</v>
      </c>
      <c r="AK39" s="3">
        <v>-960</v>
      </c>
      <c r="AL39" s="5">
        <v>-1250</v>
      </c>
      <c r="AM39" s="58"/>
      <c r="AN39" s="55"/>
      <c r="AO39" s="3"/>
      <c r="AP39" s="3"/>
      <c r="AQ39" s="3"/>
      <c r="AR39" s="3"/>
      <c r="AS39" s="5"/>
    </row>
    <row r="40" spans="4:45" x14ac:dyDescent="0.25">
      <c r="D40" s="55">
        <v>225</v>
      </c>
      <c r="E40" s="3">
        <v>250</v>
      </c>
      <c r="F40" s="3">
        <v>820</v>
      </c>
      <c r="G40" s="3">
        <v>420</v>
      </c>
      <c r="H40" s="3">
        <v>280</v>
      </c>
      <c r="I40" s="3"/>
      <c r="J40" s="3">
        <v>170</v>
      </c>
      <c r="K40" s="3">
        <v>100</v>
      </c>
      <c r="L40" s="3"/>
      <c r="M40" s="3">
        <v>50</v>
      </c>
      <c r="N40" s="3"/>
      <c r="O40" s="3">
        <v>15</v>
      </c>
      <c r="P40" s="3">
        <v>0</v>
      </c>
      <c r="Q40" s="3" t="s">
        <v>79</v>
      </c>
      <c r="R40" s="3">
        <v>22</v>
      </c>
      <c r="S40" s="3">
        <v>30</v>
      </c>
      <c r="T40" s="3">
        <v>47</v>
      </c>
      <c r="U40" s="3"/>
      <c r="V40" s="5"/>
      <c r="W40" s="3"/>
      <c r="X40" s="3">
        <v>-17</v>
      </c>
      <c r="Y40" s="3">
        <v>-5</v>
      </c>
      <c r="Z40" s="3">
        <v>0</v>
      </c>
      <c r="AA40" s="3">
        <v>-50</v>
      </c>
      <c r="AB40" s="3">
        <v>-84</v>
      </c>
      <c r="AC40" s="3">
        <v>-140</v>
      </c>
      <c r="AD40" s="3">
        <v>-196</v>
      </c>
      <c r="AE40" s="3">
        <v>-284</v>
      </c>
      <c r="AF40" s="3">
        <v>-340</v>
      </c>
      <c r="AG40" s="3">
        <v>-425</v>
      </c>
      <c r="AH40" s="3">
        <v>-520</v>
      </c>
      <c r="AI40" s="3">
        <v>-640</v>
      </c>
      <c r="AJ40" s="3">
        <v>-820</v>
      </c>
      <c r="AK40" s="3">
        <v>-1050</v>
      </c>
      <c r="AL40" s="5">
        <v>-1350</v>
      </c>
      <c r="AM40" s="58"/>
      <c r="AN40" s="55"/>
      <c r="AO40" s="3"/>
      <c r="AP40" s="3"/>
      <c r="AQ40" s="3"/>
      <c r="AR40" s="3"/>
      <c r="AS40" s="5"/>
    </row>
    <row r="41" spans="4:45" x14ac:dyDescent="0.25">
      <c r="D41" s="55">
        <v>250</v>
      </c>
      <c r="E41" s="3">
        <v>280</v>
      </c>
      <c r="F41" s="3">
        <v>920</v>
      </c>
      <c r="G41" s="3">
        <v>480</v>
      </c>
      <c r="H41" s="3">
        <v>300</v>
      </c>
      <c r="I41" s="3"/>
      <c r="J41" s="3">
        <v>190</v>
      </c>
      <c r="K41" s="3">
        <v>110</v>
      </c>
      <c r="L41" s="3"/>
      <c r="M41" s="3">
        <v>56</v>
      </c>
      <c r="N41" s="3"/>
      <c r="O41" s="3">
        <v>17</v>
      </c>
      <c r="P41" s="3">
        <v>0</v>
      </c>
      <c r="Q41" s="3" t="s">
        <v>79</v>
      </c>
      <c r="R41" s="3">
        <v>25</v>
      </c>
      <c r="S41" s="3">
        <v>36</v>
      </c>
      <c r="T41" s="3">
        <v>55</v>
      </c>
      <c r="U41" s="3"/>
      <c r="V41" s="5"/>
      <c r="W41" s="3"/>
      <c r="X41" s="3">
        <v>-20</v>
      </c>
      <c r="Y41" s="3">
        <v>-5</v>
      </c>
      <c r="Z41" s="3">
        <v>0</v>
      </c>
      <c r="AA41" s="3">
        <v>-56</v>
      </c>
      <c r="AB41" s="3">
        <v>-94</v>
      </c>
      <c r="AC41" s="3">
        <v>-158</v>
      </c>
      <c r="AD41" s="3">
        <v>-218</v>
      </c>
      <c r="AE41" s="3">
        <v>-315</v>
      </c>
      <c r="AF41" s="3">
        <v>-385</v>
      </c>
      <c r="AG41" s="3">
        <v>-475</v>
      </c>
      <c r="AH41" s="3">
        <v>-580</v>
      </c>
      <c r="AI41" s="3">
        <v>-710</v>
      </c>
      <c r="AJ41" s="3">
        <v>-920</v>
      </c>
      <c r="AK41" s="3">
        <v>-1200</v>
      </c>
      <c r="AL41" s="5">
        <v>-1550</v>
      </c>
      <c r="AM41" s="58"/>
      <c r="AN41" s="55"/>
      <c r="AO41" s="3"/>
      <c r="AP41" s="3"/>
      <c r="AQ41" s="3"/>
      <c r="AR41" s="3"/>
      <c r="AS41" s="5"/>
    </row>
    <row r="42" spans="4:45" x14ac:dyDescent="0.25">
      <c r="D42" s="55">
        <v>280</v>
      </c>
      <c r="E42" s="3">
        <v>315</v>
      </c>
      <c r="F42" s="3">
        <v>1050</v>
      </c>
      <c r="G42" s="3">
        <v>540</v>
      </c>
      <c r="H42" s="3">
        <v>330</v>
      </c>
      <c r="I42" s="3"/>
      <c r="J42" s="3">
        <v>190</v>
      </c>
      <c r="K42" s="3">
        <v>110</v>
      </c>
      <c r="L42" s="3"/>
      <c r="M42" s="3">
        <v>56</v>
      </c>
      <c r="N42" s="3"/>
      <c r="O42" s="3">
        <v>17</v>
      </c>
      <c r="P42" s="3">
        <v>0</v>
      </c>
      <c r="Q42" s="3" t="s">
        <v>79</v>
      </c>
      <c r="R42" s="3">
        <v>25</v>
      </c>
      <c r="S42" s="3">
        <v>36</v>
      </c>
      <c r="T42" s="3">
        <v>55</v>
      </c>
      <c r="U42" s="3"/>
      <c r="V42" s="5"/>
      <c r="W42" s="3"/>
      <c r="X42" s="3">
        <v>-20</v>
      </c>
      <c r="Y42" s="3">
        <v>-5</v>
      </c>
      <c r="Z42" s="3">
        <v>0</v>
      </c>
      <c r="AA42" s="3">
        <v>-56</v>
      </c>
      <c r="AB42" s="3">
        <v>-98</v>
      </c>
      <c r="AC42" s="3">
        <v>-170</v>
      </c>
      <c r="AD42" s="3">
        <v>-240</v>
      </c>
      <c r="AE42" s="3">
        <v>-350</v>
      </c>
      <c r="AF42" s="3">
        <v>-425</v>
      </c>
      <c r="AG42" s="3">
        <v>-525</v>
      </c>
      <c r="AH42" s="3">
        <v>-650</v>
      </c>
      <c r="AI42" s="3">
        <v>-790</v>
      </c>
      <c r="AJ42" s="3">
        <v>-1000</v>
      </c>
      <c r="AK42" s="3">
        <v>-1300</v>
      </c>
      <c r="AL42" s="5">
        <v>-1700</v>
      </c>
      <c r="AM42" s="58"/>
      <c r="AN42" s="55"/>
      <c r="AO42" s="3"/>
      <c r="AP42" s="3"/>
      <c r="AQ42" s="3"/>
      <c r="AR42" s="3"/>
      <c r="AS42" s="5"/>
    </row>
    <row r="43" spans="4:45" x14ac:dyDescent="0.25">
      <c r="D43" s="55">
        <v>315</v>
      </c>
      <c r="E43" s="3">
        <v>355</v>
      </c>
      <c r="F43" s="3">
        <v>1200</v>
      </c>
      <c r="G43" s="3">
        <v>600</v>
      </c>
      <c r="H43" s="3">
        <v>360</v>
      </c>
      <c r="I43" s="3"/>
      <c r="J43" s="3">
        <v>210</v>
      </c>
      <c r="K43" s="3">
        <v>125</v>
      </c>
      <c r="L43" s="3"/>
      <c r="M43" s="3">
        <v>62</v>
      </c>
      <c r="N43" s="3"/>
      <c r="O43" s="3">
        <v>18</v>
      </c>
      <c r="P43" s="3">
        <v>0</v>
      </c>
      <c r="Q43" s="3" t="s">
        <v>79</v>
      </c>
      <c r="R43" s="3">
        <v>29</v>
      </c>
      <c r="S43" s="3">
        <v>39</v>
      </c>
      <c r="T43" s="3">
        <v>60</v>
      </c>
      <c r="U43" s="3"/>
      <c r="V43" s="5"/>
      <c r="W43" s="3"/>
      <c r="X43" s="3">
        <v>-21</v>
      </c>
      <c r="Y43" s="3">
        <v>-5</v>
      </c>
      <c r="Z43" s="3">
        <v>0</v>
      </c>
      <c r="AA43" s="3">
        <v>-62</v>
      </c>
      <c r="AB43" s="3">
        <v>-108</v>
      </c>
      <c r="AC43" s="3">
        <v>-190</v>
      </c>
      <c r="AD43" s="3">
        <v>-268</v>
      </c>
      <c r="AE43" s="3">
        <v>-390</v>
      </c>
      <c r="AF43" s="3">
        <v>-475</v>
      </c>
      <c r="AG43" s="3">
        <v>-590</v>
      </c>
      <c r="AH43" s="3">
        <v>-730</v>
      </c>
      <c r="AI43" s="3">
        <v>-900</v>
      </c>
      <c r="AJ43" s="3">
        <v>-1150</v>
      </c>
      <c r="AK43" s="3">
        <v>-1500</v>
      </c>
      <c r="AL43" s="5">
        <v>-1900</v>
      </c>
      <c r="AM43" s="58"/>
      <c r="AN43" s="55"/>
      <c r="AO43" s="3"/>
      <c r="AP43" s="3"/>
      <c r="AQ43" s="3"/>
      <c r="AR43" s="3"/>
      <c r="AS43" s="5"/>
    </row>
    <row r="44" spans="4:45" x14ac:dyDescent="0.25">
      <c r="D44" s="55">
        <v>355</v>
      </c>
      <c r="E44" s="3">
        <v>400</v>
      </c>
      <c r="F44" s="3">
        <v>1350</v>
      </c>
      <c r="G44" s="3">
        <v>680</v>
      </c>
      <c r="H44" s="3">
        <v>400</v>
      </c>
      <c r="I44" s="3"/>
      <c r="J44" s="3">
        <v>210</v>
      </c>
      <c r="K44" s="3">
        <v>125</v>
      </c>
      <c r="L44" s="3"/>
      <c r="M44" s="3">
        <v>62</v>
      </c>
      <c r="N44" s="3"/>
      <c r="O44" s="3">
        <v>18</v>
      </c>
      <c r="P44" s="3">
        <v>0</v>
      </c>
      <c r="Q44" s="3" t="s">
        <v>79</v>
      </c>
      <c r="R44" s="3">
        <v>29</v>
      </c>
      <c r="S44" s="3">
        <v>39</v>
      </c>
      <c r="T44" s="3">
        <v>60</v>
      </c>
      <c r="U44" s="3"/>
      <c r="V44" s="5"/>
      <c r="W44" s="3"/>
      <c r="X44" s="3">
        <v>-21</v>
      </c>
      <c r="Y44" s="3">
        <v>-5</v>
      </c>
      <c r="Z44" s="3">
        <v>0</v>
      </c>
      <c r="AA44" s="3">
        <v>-62</v>
      </c>
      <c r="AB44" s="3">
        <v>-114</v>
      </c>
      <c r="AC44" s="3">
        <v>-208</v>
      </c>
      <c r="AD44" s="3">
        <v>-294</v>
      </c>
      <c r="AE44" s="3">
        <v>-435</v>
      </c>
      <c r="AF44" s="3">
        <v>-530</v>
      </c>
      <c r="AG44" s="3">
        <v>-660</v>
      </c>
      <c r="AH44" s="3">
        <v>-820</v>
      </c>
      <c r="AI44" s="3">
        <v>-1000</v>
      </c>
      <c r="AJ44" s="3">
        <v>-1300</v>
      </c>
      <c r="AK44" s="3">
        <v>-1650</v>
      </c>
      <c r="AL44" s="5">
        <v>-2100</v>
      </c>
      <c r="AM44" s="58"/>
      <c r="AN44" s="55"/>
      <c r="AO44" s="3"/>
      <c r="AP44" s="3"/>
      <c r="AQ44" s="3"/>
      <c r="AR44" s="3"/>
      <c r="AS44" s="5"/>
    </row>
    <row r="45" spans="4:45" x14ac:dyDescent="0.25">
      <c r="D45" s="55">
        <v>400</v>
      </c>
      <c r="E45" s="3">
        <v>450</v>
      </c>
      <c r="F45" s="3">
        <v>1500</v>
      </c>
      <c r="G45" s="3">
        <v>760</v>
      </c>
      <c r="H45" s="3">
        <v>440</v>
      </c>
      <c r="I45" s="3"/>
      <c r="J45" s="3">
        <v>230</v>
      </c>
      <c r="K45" s="3">
        <v>135</v>
      </c>
      <c r="L45" s="3"/>
      <c r="M45" s="3">
        <v>68</v>
      </c>
      <c r="N45" s="3"/>
      <c r="O45" s="3">
        <v>20</v>
      </c>
      <c r="P45" s="3">
        <v>0</v>
      </c>
      <c r="Q45" s="3" t="s">
        <v>79</v>
      </c>
      <c r="R45" s="3">
        <v>33</v>
      </c>
      <c r="S45" s="3">
        <v>43</v>
      </c>
      <c r="T45" s="3">
        <v>66</v>
      </c>
      <c r="U45" s="3"/>
      <c r="V45" s="5"/>
      <c r="W45" s="3"/>
      <c r="X45" s="3">
        <v>-23</v>
      </c>
      <c r="Y45" s="3">
        <v>-6</v>
      </c>
      <c r="Z45" s="3">
        <v>0</v>
      </c>
      <c r="AA45" s="3">
        <v>-68</v>
      </c>
      <c r="AB45" s="3">
        <v>-126</v>
      </c>
      <c r="AC45" s="3">
        <v>-232</v>
      </c>
      <c r="AD45" s="3">
        <v>-330</v>
      </c>
      <c r="AE45" s="3">
        <v>-490</v>
      </c>
      <c r="AF45" s="3">
        <v>-595</v>
      </c>
      <c r="AG45" s="3">
        <v>-740</v>
      </c>
      <c r="AH45" s="3">
        <v>-920</v>
      </c>
      <c r="AI45" s="3">
        <v>-1100</v>
      </c>
      <c r="AJ45" s="3">
        <v>-1450</v>
      </c>
      <c r="AK45" s="3">
        <v>-1850</v>
      </c>
      <c r="AL45" s="5">
        <v>-2400</v>
      </c>
      <c r="AM45" s="58"/>
      <c r="AN45" s="55"/>
      <c r="AO45" s="3"/>
      <c r="AP45" s="3"/>
      <c r="AQ45" s="3"/>
      <c r="AR45" s="3"/>
      <c r="AS45" s="5"/>
    </row>
    <row r="46" spans="4:45" ht="13.8" thickBot="1" x14ac:dyDescent="0.3">
      <c r="D46" s="59">
        <v>450</v>
      </c>
      <c r="E46" s="26">
        <v>500</v>
      </c>
      <c r="F46" s="26">
        <v>1650</v>
      </c>
      <c r="G46" s="26">
        <v>840</v>
      </c>
      <c r="H46" s="26">
        <v>480</v>
      </c>
      <c r="I46" s="26"/>
      <c r="J46" s="26">
        <v>230</v>
      </c>
      <c r="K46" s="26">
        <v>135</v>
      </c>
      <c r="L46" s="26"/>
      <c r="M46" s="26">
        <v>68</v>
      </c>
      <c r="N46" s="26"/>
      <c r="O46" s="26">
        <v>20</v>
      </c>
      <c r="P46" s="26">
        <v>0</v>
      </c>
      <c r="Q46" s="26" t="s">
        <v>79</v>
      </c>
      <c r="R46" s="26">
        <v>33</v>
      </c>
      <c r="S46" s="26">
        <v>43</v>
      </c>
      <c r="T46" s="26">
        <v>66</v>
      </c>
      <c r="U46" s="26"/>
      <c r="V46" s="27"/>
      <c r="W46" s="26"/>
      <c r="X46" s="26">
        <v>-23</v>
      </c>
      <c r="Y46" s="26">
        <v>-6</v>
      </c>
      <c r="Z46" s="26">
        <v>0</v>
      </c>
      <c r="AA46" s="26">
        <v>-68</v>
      </c>
      <c r="AB46" s="26">
        <v>-132</v>
      </c>
      <c r="AC46" s="26">
        <v>-252</v>
      </c>
      <c r="AD46" s="26">
        <v>-360</v>
      </c>
      <c r="AE46" s="26">
        <v>-540</v>
      </c>
      <c r="AF46" s="26">
        <v>-660</v>
      </c>
      <c r="AG46" s="26">
        <v>-820</v>
      </c>
      <c r="AH46" s="26">
        <v>-1000</v>
      </c>
      <c r="AI46" s="26">
        <v>-1250</v>
      </c>
      <c r="AJ46" s="26">
        <v>-1600</v>
      </c>
      <c r="AK46" s="26">
        <v>-2100</v>
      </c>
      <c r="AL46" s="27">
        <v>-2600</v>
      </c>
      <c r="AM46" s="58"/>
      <c r="AN46" s="59"/>
      <c r="AO46" s="26"/>
      <c r="AP46" s="26"/>
      <c r="AQ46" s="26"/>
      <c r="AR46" s="26"/>
      <c r="AS46" s="27"/>
    </row>
    <row r="47" spans="4:45" ht="13.8" thickTop="1" x14ac:dyDescent="0.25"/>
  </sheetData>
  <mergeCells count="5">
    <mergeCell ref="Q19:V19"/>
    <mergeCell ref="W19:AL19"/>
    <mergeCell ref="AN19:AS19"/>
    <mergeCell ref="D19:D20"/>
    <mergeCell ref="F19:P19"/>
  </mergeCells>
  <phoneticPr fontId="1"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7</vt:i4>
      </vt:variant>
    </vt:vector>
  </HeadingPairs>
  <TitlesOfParts>
    <vt:vector size="12" baseType="lpstr">
      <vt:lpstr>pannello</vt:lpstr>
      <vt:lpstr>dati</vt:lpstr>
      <vt:lpstr>griglia_combinazioni</vt:lpstr>
      <vt:lpstr>Foglio1</vt:lpstr>
      <vt:lpstr>Foglio3</vt:lpstr>
      <vt:lpstr>alberi</vt:lpstr>
      <vt:lpstr>delta</vt:lpstr>
      <vt:lpstr>fori</vt:lpstr>
      <vt:lpstr>griglia</vt:lpstr>
      <vt:lpstr>griglia_rv</vt:lpstr>
      <vt:lpstr>pannello!Print_Area</vt:lpstr>
      <vt:lpstr>scostamenti</vt:lpstr>
    </vt:vector>
  </TitlesOfParts>
  <Company>Tecnocentro Eng Srl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Visualizzatore tolleranze accoppiamenti</dc:title>
  <dc:creator>Mauro Attili</dc:creator>
  <dc:description>01/10/09 Prima emissione</dc:description>
  <cp:lastModifiedBy>Mattia Maltauro</cp:lastModifiedBy>
  <cp:lastPrinted>2009-09-30T15:00:21Z</cp:lastPrinted>
  <dcterms:created xsi:type="dcterms:W3CDTF">2009-09-14T13:42:57Z</dcterms:created>
  <dcterms:modified xsi:type="dcterms:W3CDTF">2023-05-22T11:59:51Z</dcterms:modified>
  <cp:category>Tools interni</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-1430969432</vt:i4>
  </property>
  <property fmtid="{D5CDD505-2E9C-101B-9397-08002B2CF9AE}" pid="3" name="_EmailSubject">
    <vt:lpwstr/>
  </property>
  <property fmtid="{D5CDD505-2E9C-101B-9397-08002B2CF9AE}" pid="4" name="_AuthorEmail">
    <vt:lpwstr>mauro.a@tele2.it</vt:lpwstr>
  </property>
  <property fmtid="{D5CDD505-2E9C-101B-9397-08002B2CF9AE}" pid="5" name="_AuthorEmailDisplayName">
    <vt:lpwstr>Mauro Attili</vt:lpwstr>
  </property>
  <property fmtid="{D5CDD505-2E9C-101B-9397-08002B2CF9AE}" pid="6" name="_PreviousAdHocReviewCycleID">
    <vt:i4>-813682398</vt:i4>
  </property>
  <property fmtid="{D5CDD505-2E9C-101B-9397-08002B2CF9AE}" pid="7" name="_ReviewingToolsShownOnce">
    <vt:lpwstr/>
  </property>
</Properties>
</file>