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Disco E\DIDATTICA\2025_26_TEORIE E MODELLI DEMOGRAFICI\6_Multidecrement LIFETABLE\T-APP1\"/>
    </mc:Choice>
  </mc:AlternateContent>
  <xr:revisionPtr revIDLastSave="0" documentId="13_ncr:1_{2ADDCEAA-D37C-476C-AFE6-9CFACC7CD440}" xr6:coauthVersionLast="36" xr6:coauthVersionMax="47" xr10:uidLastSave="{00000000-0000-0000-0000-000000000000}"/>
  <bookViews>
    <workbookView xWindow="0" yWindow="0" windowWidth="20736" windowHeight="8658" firstSheet="1" activeTab="6" xr2:uid="{00000000-000D-0000-FFFF-FFFF00000000}"/>
  </bookViews>
  <sheets>
    <sheet name="cause morte" sheetId="2" r:id="rId1"/>
    <sheet name="popolazione" sheetId="3" r:id="rId2"/>
    <sheet name="tavole mortalità" sheetId="6" r:id="rId3"/>
    <sheet name="arriaga" sheetId="8" r:id="rId4"/>
    <sheet name="cause pop. femminile" sheetId="9" r:id="rId5"/>
    <sheet name="cause pop. maschile " sheetId="11" r:id="rId6"/>
    <sheet name="TABELLA RIASSUNTIVA" sheetId="12" r:id="rId7"/>
  </sheets>
  <calcPr calcId="191029"/>
</workbook>
</file>

<file path=xl/calcChain.xml><?xml version="1.0" encoding="utf-8"?>
<calcChain xmlns="http://schemas.openxmlformats.org/spreadsheetml/2006/main">
  <c r="S20" i="8" l="1"/>
  <c r="S19" i="8"/>
  <c r="E19" i="12"/>
  <c r="E18" i="12"/>
  <c r="CK4" i="11"/>
  <c r="CJ4" i="11"/>
  <c r="CH5" i="11"/>
  <c r="CI4" i="11"/>
  <c r="CF4" i="11"/>
  <c r="CG4" i="11"/>
  <c r="BT4" i="11"/>
  <c r="BQ4" i="11"/>
  <c r="BJ4" i="9"/>
  <c r="P3" i="8" l="1"/>
  <c r="O3" i="8"/>
  <c r="N3" i="8"/>
  <c r="M3" i="8"/>
  <c r="E11" i="12" l="1"/>
  <c r="E10" i="12"/>
  <c r="D11" i="12"/>
  <c r="D10" i="12"/>
  <c r="E8" i="12"/>
  <c r="E7" i="12"/>
  <c r="E6" i="12"/>
  <c r="D8" i="12"/>
  <c r="D7" i="12"/>
  <c r="D6" i="12"/>
  <c r="BN4" i="9"/>
  <c r="I4" i="6"/>
  <c r="E3" i="6"/>
  <c r="F3" i="6" s="1"/>
  <c r="BT4" i="9" l="1"/>
  <c r="BZ4" i="9"/>
  <c r="AB4" i="9"/>
  <c r="CJ4" i="9"/>
  <c r="CI4" i="9"/>
  <c r="CH4" i="9"/>
  <c r="CE4" i="9"/>
  <c r="BY4" i="9"/>
  <c r="BV4" i="9"/>
  <c r="CG24" i="9"/>
  <c r="BR28" i="9" l="1"/>
  <c r="BW24" i="11"/>
  <c r="BX24" i="11" s="1"/>
  <c r="BP24" i="11"/>
  <c r="BQ24" i="11" s="1"/>
  <c r="BJ24" i="11"/>
  <c r="BK24" i="11" s="1"/>
  <c r="BW23" i="11"/>
  <c r="BX23" i="11" s="1"/>
  <c r="BP23" i="11"/>
  <c r="BQ23" i="11" s="1"/>
  <c r="BJ23" i="11"/>
  <c r="BK23" i="11" s="1"/>
  <c r="BW22" i="11"/>
  <c r="BX22" i="11" s="1"/>
  <c r="BP22" i="11"/>
  <c r="BQ22" i="11" s="1"/>
  <c r="BJ22" i="11"/>
  <c r="BK22" i="11" s="1"/>
  <c r="BW21" i="11"/>
  <c r="BX21" i="11" s="1"/>
  <c r="BP21" i="11"/>
  <c r="BQ21" i="11" s="1"/>
  <c r="BJ21" i="11"/>
  <c r="BK21" i="11" s="1"/>
  <c r="BW20" i="11"/>
  <c r="BX20" i="11" s="1"/>
  <c r="BP20" i="11"/>
  <c r="BQ20" i="11" s="1"/>
  <c r="BJ20" i="11"/>
  <c r="BK20" i="11" s="1"/>
  <c r="BW19" i="11"/>
  <c r="BX19" i="11" s="1"/>
  <c r="BP19" i="11"/>
  <c r="BQ19" i="11" s="1"/>
  <c r="BJ19" i="11"/>
  <c r="BK19" i="11" s="1"/>
  <c r="BW18" i="11"/>
  <c r="BX18" i="11" s="1"/>
  <c r="BP18" i="11"/>
  <c r="BQ18" i="11" s="1"/>
  <c r="BJ18" i="11"/>
  <c r="BK18" i="11" s="1"/>
  <c r="BW17" i="11"/>
  <c r="BX17" i="11" s="1"/>
  <c r="BP17" i="11"/>
  <c r="BQ17" i="11" s="1"/>
  <c r="BJ17" i="11"/>
  <c r="BK17" i="11" s="1"/>
  <c r="BW16" i="11"/>
  <c r="BX16" i="11" s="1"/>
  <c r="BP16" i="11"/>
  <c r="BQ16" i="11" s="1"/>
  <c r="BJ16" i="11"/>
  <c r="BK16" i="11" s="1"/>
  <c r="BW15" i="11"/>
  <c r="BX15" i="11" s="1"/>
  <c r="BP15" i="11"/>
  <c r="BQ15" i="11" s="1"/>
  <c r="BJ15" i="11"/>
  <c r="BK15" i="11" s="1"/>
  <c r="BW14" i="11"/>
  <c r="BX14" i="11" s="1"/>
  <c r="BP14" i="11"/>
  <c r="BQ14" i="11" s="1"/>
  <c r="BJ14" i="11"/>
  <c r="BK14" i="11" s="1"/>
  <c r="BW13" i="11"/>
  <c r="BX13" i="11" s="1"/>
  <c r="BP13" i="11"/>
  <c r="BQ13" i="11" s="1"/>
  <c r="BJ13" i="11"/>
  <c r="BK13" i="11" s="1"/>
  <c r="BW12" i="11"/>
  <c r="BX12" i="11" s="1"/>
  <c r="BP12" i="11"/>
  <c r="BQ12" i="11" s="1"/>
  <c r="BJ12" i="11"/>
  <c r="BK12" i="11" s="1"/>
  <c r="BW11" i="11"/>
  <c r="BX11" i="11" s="1"/>
  <c r="BP11" i="11"/>
  <c r="BQ11" i="11" s="1"/>
  <c r="BJ11" i="11"/>
  <c r="BK11" i="11" s="1"/>
  <c r="BW10" i="11"/>
  <c r="BX10" i="11" s="1"/>
  <c r="BP10" i="11"/>
  <c r="BQ10" i="11" s="1"/>
  <c r="BJ10" i="11"/>
  <c r="BK10" i="11" s="1"/>
  <c r="BW9" i="11"/>
  <c r="BX9" i="11" s="1"/>
  <c r="BP9" i="11"/>
  <c r="BQ9" i="11" s="1"/>
  <c r="BJ9" i="11"/>
  <c r="BK9" i="11" s="1"/>
  <c r="BW8" i="11"/>
  <c r="BX8" i="11" s="1"/>
  <c r="BP8" i="11"/>
  <c r="BQ8" i="11" s="1"/>
  <c r="BJ8" i="11"/>
  <c r="BK8" i="11" s="1"/>
  <c r="BW7" i="11"/>
  <c r="BX7" i="11" s="1"/>
  <c r="BP7" i="11"/>
  <c r="BQ7" i="11" s="1"/>
  <c r="BJ7" i="11"/>
  <c r="BK7" i="11" s="1"/>
  <c r="BW6" i="11"/>
  <c r="BX6" i="11" s="1"/>
  <c r="BP6" i="11"/>
  <c r="BQ6" i="11" s="1"/>
  <c r="BJ6" i="11"/>
  <c r="BK6" i="11" s="1"/>
  <c r="BW5" i="11"/>
  <c r="BX5" i="11" s="1"/>
  <c r="BP5" i="11"/>
  <c r="BQ5" i="11" s="1"/>
  <c r="BJ5" i="11"/>
  <c r="BK5" i="11" s="1"/>
  <c r="BW4" i="11"/>
  <c r="BX4" i="11" s="1"/>
  <c r="BP4" i="11"/>
  <c r="BJ4" i="11"/>
  <c r="BK4" i="11" s="1"/>
  <c r="X25" i="11"/>
  <c r="AR25" i="11" s="1"/>
  <c r="W25" i="11"/>
  <c r="AT27" i="11" s="1"/>
  <c r="CF24" i="11"/>
  <c r="CG24" i="11" s="1"/>
  <c r="AT24" i="11"/>
  <c r="AM24" i="11"/>
  <c r="AH24" i="11"/>
  <c r="AD24" i="11"/>
  <c r="AB24" i="11"/>
  <c r="X24" i="11"/>
  <c r="AJ24" i="11" s="1"/>
  <c r="W24" i="11"/>
  <c r="Y24" i="11" s="1"/>
  <c r="CF23" i="11"/>
  <c r="CG23" i="11" s="1"/>
  <c r="X23" i="11"/>
  <c r="W23" i="11"/>
  <c r="CF22" i="11"/>
  <c r="CG22" i="11" s="1"/>
  <c r="X22" i="11"/>
  <c r="W22" i="11"/>
  <c r="CF21" i="11"/>
  <c r="CG21" i="11" s="1"/>
  <c r="AT21" i="11"/>
  <c r="AS21" i="11"/>
  <c r="AR21" i="11"/>
  <c r="AK21" i="11"/>
  <c r="AJ21" i="11"/>
  <c r="Y21" i="11"/>
  <c r="X21" i="11"/>
  <c r="AN21" i="11" s="1"/>
  <c r="W21" i="11"/>
  <c r="CF20" i="11"/>
  <c r="CG20" i="11" s="1"/>
  <c r="X20" i="11"/>
  <c r="AK20" i="11" s="1"/>
  <c r="W20" i="11"/>
  <c r="CF19" i="11"/>
  <c r="CG19" i="11" s="1"/>
  <c r="AN19" i="11"/>
  <c r="AM19" i="11"/>
  <c r="AJ19" i="11"/>
  <c r="AC19" i="11"/>
  <c r="X19" i="11"/>
  <c r="AT19" i="11" s="1"/>
  <c r="W19" i="11"/>
  <c r="Y19" i="11" s="1"/>
  <c r="CF18" i="11"/>
  <c r="CG18" i="11" s="1"/>
  <c r="X18" i="11"/>
  <c r="AB18" i="11" s="1"/>
  <c r="W18" i="11"/>
  <c r="CF17" i="11"/>
  <c r="CG17" i="11" s="1"/>
  <c r="X17" i="11"/>
  <c r="AR17" i="11" s="1"/>
  <c r="W17" i="11"/>
  <c r="Y17" i="11" s="1"/>
  <c r="CF16" i="11"/>
  <c r="CG16" i="11" s="1"/>
  <c r="AT16" i="11"/>
  <c r="AJ16" i="11"/>
  <c r="X16" i="11"/>
  <c r="AI16" i="11" s="1"/>
  <c r="W16" i="11"/>
  <c r="CF15" i="11"/>
  <c r="CG15" i="11" s="1"/>
  <c r="X15" i="11"/>
  <c r="W15" i="11"/>
  <c r="CF14" i="11"/>
  <c r="CG14" i="11" s="1"/>
  <c r="X14" i="11"/>
  <c r="AT14" i="11" s="1"/>
  <c r="W14" i="11"/>
  <c r="CF13" i="11"/>
  <c r="CG13" i="11" s="1"/>
  <c r="X13" i="11"/>
  <c r="AN13" i="11" s="1"/>
  <c r="W13" i="11"/>
  <c r="Y13" i="11" s="1"/>
  <c r="CF12" i="11"/>
  <c r="CG12" i="11" s="1"/>
  <c r="X12" i="11"/>
  <c r="W12" i="11"/>
  <c r="CF11" i="11"/>
  <c r="CG11" i="11" s="1"/>
  <c r="AR11" i="11"/>
  <c r="AO11" i="11"/>
  <c r="AJ11" i="11"/>
  <c r="X11" i="11"/>
  <c r="AS11" i="11" s="1"/>
  <c r="W11" i="11"/>
  <c r="Y11" i="11" s="1"/>
  <c r="CF10" i="11"/>
  <c r="CG10" i="11" s="1"/>
  <c r="AM10" i="11"/>
  <c r="AK10" i="11"/>
  <c r="AJ10" i="11"/>
  <c r="AI10" i="11"/>
  <c r="AH10" i="11"/>
  <c r="AD10" i="11"/>
  <c r="AC10" i="11"/>
  <c r="AB10" i="11"/>
  <c r="Y10" i="11"/>
  <c r="X10" i="11"/>
  <c r="AT10" i="11" s="1"/>
  <c r="W10" i="11"/>
  <c r="CF9" i="11"/>
  <c r="CG9" i="11" s="1"/>
  <c r="X9" i="11"/>
  <c r="AT9" i="11" s="1"/>
  <c r="W9" i="11"/>
  <c r="Y9" i="11" s="1"/>
  <c r="CF8" i="11"/>
  <c r="CG8" i="11" s="1"/>
  <c r="AT8" i="11"/>
  <c r="AM8" i="11"/>
  <c r="AK8" i="11"/>
  <c r="AH8" i="11"/>
  <c r="AE8" i="11"/>
  <c r="AC8" i="11"/>
  <c r="X8" i="11"/>
  <c r="AJ8" i="11" s="1"/>
  <c r="W8" i="11"/>
  <c r="Y8" i="11" s="1"/>
  <c r="CI8" i="11" s="1"/>
  <c r="CF7" i="11"/>
  <c r="CG7" i="11" s="1"/>
  <c r="X7" i="11"/>
  <c r="W7" i="11"/>
  <c r="CF6" i="11"/>
  <c r="CG6" i="11" s="1"/>
  <c r="X6" i="11"/>
  <c r="W6" i="11"/>
  <c r="CF5" i="11"/>
  <c r="CG5" i="11" s="1"/>
  <c r="AT5" i="11"/>
  <c r="AS5" i="11"/>
  <c r="AL5" i="11"/>
  <c r="AK5" i="11"/>
  <c r="X5" i="11"/>
  <c r="W5" i="11"/>
  <c r="Y5" i="11" s="1"/>
  <c r="X4" i="11"/>
  <c r="AH4" i="11" s="1"/>
  <c r="W4" i="11"/>
  <c r="Y4" i="11" s="1"/>
  <c r="AC4" i="11" l="1"/>
  <c r="AD4" i="11"/>
  <c r="AL17" i="11"/>
  <c r="Y7" i="11"/>
  <c r="AS17" i="11"/>
  <c r="AK27" i="11"/>
  <c r="AF4" i="11"/>
  <c r="AK9" i="11"/>
  <c r="AC14" i="11"/>
  <c r="AT17" i="11"/>
  <c r="AM20" i="11"/>
  <c r="AL27" i="11"/>
  <c r="AB4" i="11"/>
  <c r="AN25" i="11"/>
  <c r="AE4" i="11"/>
  <c r="AE14" i="11"/>
  <c r="AN27" i="11"/>
  <c r="AD20" i="11"/>
  <c r="AI20" i="11"/>
  <c r="AD27" i="11"/>
  <c r="AI4" i="11"/>
  <c r="AL9" i="11"/>
  <c r="AD14" i="11"/>
  <c r="AT20" i="11"/>
  <c r="AM27" i="11"/>
  <c r="AK4" i="11"/>
  <c r="AN9" i="11"/>
  <c r="AO27" i="11"/>
  <c r="CI10" i="11"/>
  <c r="AJ9" i="11"/>
  <c r="AJ4" i="11"/>
  <c r="AM9" i="11"/>
  <c r="AL4" i="11"/>
  <c r="AB8" i="11"/>
  <c r="AO9" i="11"/>
  <c r="AC11" i="11"/>
  <c r="CI11" i="11" s="1"/>
  <c r="AS27" i="11"/>
  <c r="AH20" i="11"/>
  <c r="AN4" i="11"/>
  <c r="AR9" i="11"/>
  <c r="CI21" i="11"/>
  <c r="AO4" i="11"/>
  <c r="AD8" i="11"/>
  <c r="AS9" i="11"/>
  <c r="AK11" i="11"/>
  <c r="AC21" i="11"/>
  <c r="AC24" i="11"/>
  <c r="CI24" i="11" s="1"/>
  <c r="AK17" i="11"/>
  <c r="AJ17" i="11"/>
  <c r="AC9" i="11"/>
  <c r="AI8" i="11"/>
  <c r="AK19" i="11"/>
  <c r="AM21" i="11"/>
  <c r="AI24" i="11"/>
  <c r="Y12" i="11"/>
  <c r="AL19" i="11"/>
  <c r="CI19" i="11"/>
  <c r="BM4" i="11"/>
  <c r="BM5" i="11" s="1"/>
  <c r="BM6" i="11" s="1"/>
  <c r="BM7" i="11" s="1"/>
  <c r="BM8" i="11" s="1"/>
  <c r="BM9" i="11" s="1"/>
  <c r="BM10" i="11" s="1"/>
  <c r="BM11" i="11" s="1"/>
  <c r="BM12" i="11" s="1"/>
  <c r="BM13" i="11" s="1"/>
  <c r="BM14" i="11" s="1"/>
  <c r="BM15" i="11" s="1"/>
  <c r="BM16" i="11" s="1"/>
  <c r="BM17" i="11" s="1"/>
  <c r="BM18" i="11" s="1"/>
  <c r="BM19" i="11" s="1"/>
  <c r="BM20" i="11" s="1"/>
  <c r="BM21" i="11" s="1"/>
  <c r="BM22" i="11" s="1"/>
  <c r="BM23" i="11" s="1"/>
  <c r="BM24" i="11" s="1"/>
  <c r="BL4" i="11"/>
  <c r="BS4" i="11"/>
  <c r="BS5" i="11" s="1"/>
  <c r="BS6" i="11" s="1"/>
  <c r="BS7" i="11" s="1"/>
  <c r="BS8" i="11" s="1"/>
  <c r="BS9" i="11" s="1"/>
  <c r="BS10" i="11" s="1"/>
  <c r="BS11" i="11" s="1"/>
  <c r="BS12" i="11" s="1"/>
  <c r="BS13" i="11" s="1"/>
  <c r="BS14" i="11" s="1"/>
  <c r="BS15" i="11" s="1"/>
  <c r="BS16" i="11" s="1"/>
  <c r="BS17" i="11" s="1"/>
  <c r="BS18" i="11" s="1"/>
  <c r="BS19" i="11" s="1"/>
  <c r="BS20" i="11" s="1"/>
  <c r="BS21" i="11" s="1"/>
  <c r="BS22" i="11" s="1"/>
  <c r="BS23" i="11" s="1"/>
  <c r="BS24" i="11" s="1"/>
  <c r="BR4" i="11"/>
  <c r="BZ4" i="11"/>
  <c r="BZ5" i="11" s="1"/>
  <c r="BZ6" i="11" s="1"/>
  <c r="BZ7" i="11" s="1"/>
  <c r="BZ8" i="11" s="1"/>
  <c r="BZ9" i="11" s="1"/>
  <c r="BZ10" i="11" s="1"/>
  <c r="BZ11" i="11" s="1"/>
  <c r="BZ12" i="11" s="1"/>
  <c r="BZ13" i="11" s="1"/>
  <c r="BZ14" i="11" s="1"/>
  <c r="BZ15" i="11" s="1"/>
  <c r="BZ16" i="11" s="1"/>
  <c r="BZ17" i="11" s="1"/>
  <c r="BZ18" i="11" s="1"/>
  <c r="BZ19" i="11" s="1"/>
  <c r="BZ20" i="11" s="1"/>
  <c r="BZ21" i="11" s="1"/>
  <c r="BZ22" i="11" s="1"/>
  <c r="BZ23" i="11" s="1"/>
  <c r="BZ24" i="11" s="1"/>
  <c r="BY4" i="11"/>
  <c r="AQ23" i="11"/>
  <c r="AP23" i="11"/>
  <c r="AO23" i="11"/>
  <c r="AI23" i="11"/>
  <c r="AH23" i="11"/>
  <c r="AG23" i="11"/>
  <c r="AF23" i="11"/>
  <c r="AE23" i="11"/>
  <c r="AD23" i="11"/>
  <c r="AB23" i="11"/>
  <c r="AG6" i="11"/>
  <c r="AF6" i="11"/>
  <c r="AS6" i="11"/>
  <c r="AN6" i="11"/>
  <c r="AR6" i="11"/>
  <c r="AQ6" i="11"/>
  <c r="AP6" i="11"/>
  <c r="AO6" i="11"/>
  <c r="AL6" i="11"/>
  <c r="AK7" i="11"/>
  <c r="AI14" i="11"/>
  <c r="AC18" i="11"/>
  <c r="AD6" i="11"/>
  <c r="AJ13" i="11"/>
  <c r="AD18" i="11"/>
  <c r="AQ5" i="11"/>
  <c r="AP5" i="11"/>
  <c r="AI5" i="11"/>
  <c r="AH5" i="11"/>
  <c r="AG5" i="11"/>
  <c r="AE5" i="11"/>
  <c r="AD5" i="11"/>
  <c r="AF5" i="11"/>
  <c r="AB5" i="11"/>
  <c r="AQ15" i="11"/>
  <c r="AP15" i="11"/>
  <c r="AO15" i="11"/>
  <c r="AI15" i="11"/>
  <c r="AH15" i="11"/>
  <c r="AG15" i="11"/>
  <c r="AE15" i="11"/>
  <c r="AF15" i="11"/>
  <c r="AD15" i="11"/>
  <c r="AB15" i="11"/>
  <c r="AM15" i="11"/>
  <c r="AC23" i="11"/>
  <c r="AG12" i="11"/>
  <c r="AF12" i="11"/>
  <c r="AS12" i="11"/>
  <c r="AR12" i="11"/>
  <c r="AQ12" i="11"/>
  <c r="AP12" i="11"/>
  <c r="AO12" i="11"/>
  <c r="AN12" i="11"/>
  <c r="AL12" i="11"/>
  <c r="AH14" i="11"/>
  <c r="AG22" i="11"/>
  <c r="AF22" i="11"/>
  <c r="AE22" i="11"/>
  <c r="AS22" i="11"/>
  <c r="AR22" i="11"/>
  <c r="AQ22" i="11"/>
  <c r="AN22" i="11"/>
  <c r="AP22" i="11"/>
  <c r="AO22" i="11"/>
  <c r="AL22" i="11"/>
  <c r="AC13" i="11"/>
  <c r="CI13" i="11" s="1"/>
  <c r="AR15" i="11"/>
  <c r="Y22" i="11"/>
  <c r="AK23" i="11"/>
  <c r="AL7" i="11"/>
  <c r="AB12" i="11"/>
  <c r="AJ14" i="11"/>
  <c r="AS15" i="11"/>
  <c r="AB22" i="11"/>
  <c r="AL23" i="11"/>
  <c r="AE6" i="11"/>
  <c r="AM7" i="11"/>
  <c r="AK13" i="11"/>
  <c r="AT15" i="11"/>
  <c r="AH18" i="11"/>
  <c r="AC22" i="11"/>
  <c r="AC5" i="11"/>
  <c r="CI5" i="11" s="1"/>
  <c r="AI6" i="11"/>
  <c r="AO7" i="11"/>
  <c r="AQ11" i="11"/>
  <c r="AP11" i="11"/>
  <c r="AI11" i="11"/>
  <c r="AH11" i="11"/>
  <c r="AG11" i="11"/>
  <c r="AF11" i="11"/>
  <c r="AE11" i="11"/>
  <c r="AD11" i="11"/>
  <c r="AB11" i="11"/>
  <c r="AE12" i="11"/>
  <c r="AM13" i="11"/>
  <c r="AJ18" i="11"/>
  <c r="AH22" i="11"/>
  <c r="AR23" i="11"/>
  <c r="AJ5" i="11"/>
  <c r="AJ6" i="11"/>
  <c r="AR7" i="11"/>
  <c r="AG10" i="11"/>
  <c r="AF10" i="11"/>
  <c r="AS10" i="11"/>
  <c r="AR10" i="11"/>
  <c r="AQ10" i="11"/>
  <c r="AO10" i="11"/>
  <c r="AP10" i="11"/>
  <c r="AN10" i="11"/>
  <c r="AL10" i="11"/>
  <c r="AH12" i="11"/>
  <c r="AC17" i="11"/>
  <c r="CI17" i="11" s="1"/>
  <c r="AK18" i="11"/>
  <c r="AQ21" i="11"/>
  <c r="AP21" i="11"/>
  <c r="AO21" i="11"/>
  <c r="AI21" i="11"/>
  <c r="AH21" i="11"/>
  <c r="AG21" i="11"/>
  <c r="AD21" i="11"/>
  <c r="AF21" i="11"/>
  <c r="AE21" i="11"/>
  <c r="AB21" i="11"/>
  <c r="AI22" i="11"/>
  <c r="AS23" i="11"/>
  <c r="AR27" i="11"/>
  <c r="AQ27" i="11"/>
  <c r="AP27" i="11"/>
  <c r="AJ27" i="11"/>
  <c r="AI27" i="11"/>
  <c r="AH27" i="11"/>
  <c r="AG27" i="11"/>
  <c r="AF27" i="11"/>
  <c r="AE27" i="11"/>
  <c r="AC27" i="11"/>
  <c r="AB27" i="11"/>
  <c r="Y25" i="11"/>
  <c r="AK15" i="11"/>
  <c r="AC7" i="11"/>
  <c r="CI7" i="11" s="1"/>
  <c r="Y18" i="11"/>
  <c r="AJ7" i="11"/>
  <c r="AN15" i="11"/>
  <c r="AI12" i="11"/>
  <c r="AG16" i="11"/>
  <c r="AF16" i="11"/>
  <c r="AE16" i="11"/>
  <c r="AS16" i="11"/>
  <c r="AR16" i="11"/>
  <c r="AQ16" i="11"/>
  <c r="AN16" i="11"/>
  <c r="AP16" i="11"/>
  <c r="AO16" i="11"/>
  <c r="AL16" i="11"/>
  <c r="AM18" i="11"/>
  <c r="AQ25" i="11"/>
  <c r="AP25" i="11"/>
  <c r="AO25" i="11"/>
  <c r="AI25" i="11"/>
  <c r="AH25" i="11"/>
  <c r="AG25" i="11"/>
  <c r="AE25" i="11"/>
  <c r="AD25" i="11"/>
  <c r="AF25" i="11"/>
  <c r="AB25" i="11"/>
  <c r="AM6" i="11"/>
  <c r="AJ12" i="11"/>
  <c r="Y16" i="11"/>
  <c r="AT18" i="11"/>
  <c r="AC25" i="11"/>
  <c r="AM5" i="11"/>
  <c r="AK25" i="11"/>
  <c r="AL15" i="11"/>
  <c r="AQ13" i="11"/>
  <c r="AP13" i="11"/>
  <c r="AI13" i="11"/>
  <c r="AH13" i="11"/>
  <c r="AG13" i="11"/>
  <c r="AE13" i="11"/>
  <c r="AF13" i="11"/>
  <c r="AD13" i="11"/>
  <c r="AB13" i="11"/>
  <c r="AB6" i="11"/>
  <c r="AJ23" i="11"/>
  <c r="AJ22" i="11"/>
  <c r="AK22" i="11"/>
  <c r="AK12" i="11"/>
  <c r="AB16" i="11"/>
  <c r="AG20" i="11"/>
  <c r="AF20" i="11"/>
  <c r="AE20" i="11"/>
  <c r="AS20" i="11"/>
  <c r="AR20" i="11"/>
  <c r="AQ20" i="11"/>
  <c r="AP20" i="11"/>
  <c r="AO20" i="11"/>
  <c r="AN20" i="11"/>
  <c r="AL20" i="11"/>
  <c r="AM22" i="11"/>
  <c r="AJ25" i="11"/>
  <c r="AN5" i="11"/>
  <c r="AL11" i="11"/>
  <c r="AM12" i="11"/>
  <c r="AT13" i="11"/>
  <c r="AC16" i="11"/>
  <c r="AM17" i="11"/>
  <c r="Y20" i="11"/>
  <c r="AT22" i="11"/>
  <c r="AO5" i="11"/>
  <c r="AQ9" i="11"/>
  <c r="AP9" i="11"/>
  <c r="AI9" i="11"/>
  <c r="AH9" i="11"/>
  <c r="AG9" i="11"/>
  <c r="AE9" i="11"/>
  <c r="AF9" i="11"/>
  <c r="AD9" i="11"/>
  <c r="AB9" i="11"/>
  <c r="AE10" i="11"/>
  <c r="AM11" i="11"/>
  <c r="AT12" i="11"/>
  <c r="AD16" i="11"/>
  <c r="AN17" i="11"/>
  <c r="AB20" i="11"/>
  <c r="AL21" i="11"/>
  <c r="AG24" i="11"/>
  <c r="AF24" i="11"/>
  <c r="AE24" i="11"/>
  <c r="AS24" i="11"/>
  <c r="AR24" i="11"/>
  <c r="AQ24" i="11"/>
  <c r="AP24" i="11"/>
  <c r="AO24" i="11"/>
  <c r="AN24" i="11"/>
  <c r="AL24" i="11"/>
  <c r="AK24" i="11"/>
  <c r="AL25" i="11"/>
  <c r="AQ7" i="11"/>
  <c r="AP7" i="11"/>
  <c r="AI7" i="11"/>
  <c r="AH7" i="11"/>
  <c r="AG7" i="11"/>
  <c r="AE7" i="11"/>
  <c r="AF7" i="11"/>
  <c r="AD7" i="11"/>
  <c r="AB7" i="11"/>
  <c r="AG18" i="11"/>
  <c r="AF18" i="11"/>
  <c r="AE18" i="11"/>
  <c r="AS18" i="11"/>
  <c r="AR18" i="11"/>
  <c r="AQ18" i="11"/>
  <c r="AP18" i="11"/>
  <c r="AO18" i="11"/>
  <c r="AN18" i="11"/>
  <c r="AL18" i="11"/>
  <c r="Y23" i="11"/>
  <c r="AC6" i="11"/>
  <c r="AK6" i="11"/>
  <c r="AS7" i="11"/>
  <c r="AO13" i="11"/>
  <c r="AT23" i="11"/>
  <c r="AT7" i="11"/>
  <c r="AR13" i="11"/>
  <c r="AT6" i="11"/>
  <c r="AS13" i="11"/>
  <c r="AR5" i="11"/>
  <c r="AG8" i="11"/>
  <c r="AF8" i="11"/>
  <c r="AS8" i="11"/>
  <c r="AR8" i="11"/>
  <c r="AQ8" i="11"/>
  <c r="AO8" i="11"/>
  <c r="AP8" i="11"/>
  <c r="AN8" i="11"/>
  <c r="AL8" i="11"/>
  <c r="CI9" i="11"/>
  <c r="AN11" i="11"/>
  <c r="AH16" i="11"/>
  <c r="AC20" i="11"/>
  <c r="AM25" i="11"/>
  <c r="AG14" i="11"/>
  <c r="AF14" i="11"/>
  <c r="AS14" i="11"/>
  <c r="AR14" i="11"/>
  <c r="AQ14" i="11"/>
  <c r="AN14" i="11"/>
  <c r="AP14" i="11"/>
  <c r="AO14" i="11"/>
  <c r="AL14" i="11"/>
  <c r="Y15" i="11"/>
  <c r="Y14" i="11"/>
  <c r="CI14" i="11" s="1"/>
  <c r="AC15" i="11"/>
  <c r="AK16" i="11"/>
  <c r="AQ19" i="11"/>
  <c r="AP19" i="11"/>
  <c r="AO19" i="11"/>
  <c r="AI19" i="11"/>
  <c r="AH19" i="11"/>
  <c r="AG19" i="11"/>
  <c r="AE19" i="11"/>
  <c r="AD19" i="11"/>
  <c r="AF19" i="11"/>
  <c r="AB19" i="11"/>
  <c r="AS25" i="11"/>
  <c r="AT11" i="11"/>
  <c r="AB14" i="11"/>
  <c r="AJ15" i="11"/>
  <c r="AM16" i="11"/>
  <c r="AJ20" i="11"/>
  <c r="AT25" i="11"/>
  <c r="Y6" i="11"/>
  <c r="AC12" i="11"/>
  <c r="CI12" i="11" s="1"/>
  <c r="AK14" i="11"/>
  <c r="AR19" i="11"/>
  <c r="AM23" i="11"/>
  <c r="AH6" i="11"/>
  <c r="AN7" i="11"/>
  <c r="AD12" i="11"/>
  <c r="AL13" i="11"/>
  <c r="AM14" i="11"/>
  <c r="AQ17" i="11"/>
  <c r="AP17" i="11"/>
  <c r="AO17" i="11"/>
  <c r="AI17" i="11"/>
  <c r="AH17" i="11"/>
  <c r="AG17" i="11"/>
  <c r="AE17" i="11"/>
  <c r="AF17" i="11"/>
  <c r="AD17" i="11"/>
  <c r="AB17" i="11"/>
  <c r="AI18" i="11"/>
  <c r="AS19" i="11"/>
  <c r="AD22" i="11"/>
  <c r="AN23" i="11"/>
  <c r="AM4" i="11"/>
  <c r="AQ4" i="11"/>
  <c r="AP4" i="11"/>
  <c r="AR4" i="11"/>
  <c r="AS4" i="11"/>
  <c r="AT4" i="11"/>
  <c r="AG4" i="11"/>
  <c r="CN4" i="9"/>
  <c r="CM4" i="9"/>
  <c r="BL5" i="11" l="1"/>
  <c r="BL6" i="11" s="1"/>
  <c r="BL7" i="11" s="1"/>
  <c r="BL8" i="11" s="1"/>
  <c r="BL9" i="11" s="1"/>
  <c r="BL10" i="11" s="1"/>
  <c r="BL11" i="11" s="1"/>
  <c r="BL12" i="11" s="1"/>
  <c r="BL13" i="11" s="1"/>
  <c r="BL14" i="11" s="1"/>
  <c r="BL15" i="11" s="1"/>
  <c r="BL16" i="11" s="1"/>
  <c r="BL17" i="11" s="1"/>
  <c r="BL18" i="11" s="1"/>
  <c r="BL19" i="11" s="1"/>
  <c r="BL20" i="11" s="1"/>
  <c r="BL21" i="11" s="1"/>
  <c r="BL22" i="11" s="1"/>
  <c r="BL23" i="11" s="1"/>
  <c r="BL24" i="11" s="1"/>
  <c r="BN4" i="11"/>
  <c r="BY5" i="11"/>
  <c r="BY6" i="11" s="1"/>
  <c r="BY7" i="11" s="1"/>
  <c r="BY8" i="11" s="1"/>
  <c r="BY9" i="11" s="1"/>
  <c r="BY10" i="11" s="1"/>
  <c r="BY11" i="11" s="1"/>
  <c r="BY12" i="11" s="1"/>
  <c r="BY13" i="11" s="1"/>
  <c r="BY14" i="11" s="1"/>
  <c r="BY15" i="11" s="1"/>
  <c r="BY16" i="11" s="1"/>
  <c r="BY17" i="11" s="1"/>
  <c r="BY18" i="11" s="1"/>
  <c r="BY19" i="11" s="1"/>
  <c r="BY20" i="11" s="1"/>
  <c r="BY21" i="11" s="1"/>
  <c r="BY22" i="11" s="1"/>
  <c r="BY23" i="11" s="1"/>
  <c r="BY24" i="11" s="1"/>
  <c r="CA4" i="11"/>
  <c r="BR5" i="11"/>
  <c r="BR6" i="11" s="1"/>
  <c r="BR7" i="11" s="1"/>
  <c r="BR8" i="11" s="1"/>
  <c r="BR9" i="11" s="1"/>
  <c r="BR10" i="11" s="1"/>
  <c r="BR11" i="11" s="1"/>
  <c r="BR12" i="11" s="1"/>
  <c r="BR13" i="11" s="1"/>
  <c r="BR14" i="11" s="1"/>
  <c r="BR15" i="11" s="1"/>
  <c r="BR16" i="11" s="1"/>
  <c r="BR17" i="11" s="1"/>
  <c r="BR18" i="11" s="1"/>
  <c r="BR19" i="11" s="1"/>
  <c r="BR20" i="11" s="1"/>
  <c r="BR21" i="11" s="1"/>
  <c r="BR22" i="11" s="1"/>
  <c r="BR23" i="11" s="1"/>
  <c r="BR24" i="11" s="1"/>
  <c r="BR28" i="11"/>
  <c r="CI15" i="11"/>
  <c r="CI18" i="11"/>
  <c r="CJ5" i="11"/>
  <c r="CK5" i="11" s="1"/>
  <c r="CH6" i="11"/>
  <c r="CI6" i="11"/>
  <c r="CI22" i="11"/>
  <c r="CI16" i="11"/>
  <c r="CI20" i="11"/>
  <c r="CI23" i="11"/>
  <c r="AC27" i="9"/>
  <c r="AD27" i="9"/>
  <c r="AE27" i="9"/>
  <c r="AF27" i="9"/>
  <c r="AG27" i="9"/>
  <c r="AH27" i="9"/>
  <c r="AI27" i="9"/>
  <c r="AJ27" i="9"/>
  <c r="AK27" i="9"/>
  <c r="AL27" i="9"/>
  <c r="AM27" i="9"/>
  <c r="AN27" i="9"/>
  <c r="AO27" i="9"/>
  <c r="AP27" i="9"/>
  <c r="AQ27" i="9"/>
  <c r="AR27" i="9"/>
  <c r="AS27" i="9"/>
  <c r="AT27" i="9"/>
  <c r="AB27" i="9"/>
  <c r="CJ6" i="11" l="1"/>
  <c r="CK6" i="11" s="1"/>
  <c r="CH7" i="11"/>
  <c r="L29" i="3"/>
  <c r="O29" i="3"/>
  <c r="N29" i="3"/>
  <c r="O27" i="3"/>
  <c r="N28" i="3"/>
  <c r="N27" i="3"/>
  <c r="L28" i="3"/>
  <c r="L27" i="3"/>
  <c r="O28" i="3"/>
  <c r="M29" i="3"/>
  <c r="M28" i="3"/>
  <c r="M27" i="3"/>
  <c r="K29" i="3"/>
  <c r="K28" i="3"/>
  <c r="K27" i="3"/>
  <c r="CF4" i="9"/>
  <c r="BJ7" i="9"/>
  <c r="BK7" i="9" s="1"/>
  <c r="K49" i="6"/>
  <c r="J29" i="6"/>
  <c r="G30" i="6"/>
  <c r="F4" i="6"/>
  <c r="G4" i="6" s="1"/>
  <c r="F30" i="6"/>
  <c r="CJ7" i="11" l="1"/>
  <c r="CK7" i="11" s="1"/>
  <c r="CH8" i="11"/>
  <c r="CG5" i="9"/>
  <c r="CH9" i="11" l="1"/>
  <c r="CJ8" i="11"/>
  <c r="CK8" i="11" s="1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3" i="3"/>
  <c r="C24" i="3"/>
  <c r="C26" i="3" s="1"/>
  <c r="D24" i="3"/>
  <c r="E24" i="3"/>
  <c r="B24" i="3"/>
  <c r="BP4" i="9"/>
  <c r="CJ9" i="11" l="1"/>
  <c r="CK9" i="11" s="1"/>
  <c r="CH10" i="11"/>
  <c r="H4" i="3"/>
  <c r="H5" i="3"/>
  <c r="H13" i="3"/>
  <c r="H21" i="3"/>
  <c r="G8" i="3"/>
  <c r="G16" i="3"/>
  <c r="G3" i="3"/>
  <c r="H14" i="3"/>
  <c r="H22" i="3"/>
  <c r="G9" i="3"/>
  <c r="G17" i="3"/>
  <c r="H15" i="3"/>
  <c r="H23" i="3"/>
  <c r="G10" i="3"/>
  <c r="G18" i="3"/>
  <c r="H6" i="3"/>
  <c r="H7" i="3"/>
  <c r="H8" i="3"/>
  <c r="H16" i="3"/>
  <c r="H3" i="3"/>
  <c r="G11" i="3"/>
  <c r="G19" i="3"/>
  <c r="H9" i="3"/>
  <c r="H17" i="3"/>
  <c r="G4" i="3"/>
  <c r="G12" i="3"/>
  <c r="G20" i="3"/>
  <c r="H10" i="3"/>
  <c r="H18" i="3"/>
  <c r="G5" i="3"/>
  <c r="G13" i="3"/>
  <c r="G21" i="3"/>
  <c r="G7" i="3"/>
  <c r="H11" i="3"/>
  <c r="H19" i="3"/>
  <c r="G6" i="3"/>
  <c r="G14" i="3"/>
  <c r="G22" i="3"/>
  <c r="H12" i="3"/>
  <c r="H20" i="3"/>
  <c r="G15" i="3"/>
  <c r="G23" i="3"/>
  <c r="H25" i="3"/>
  <c r="CE5" i="9"/>
  <c r="CF5" i="9" s="1"/>
  <c r="CE6" i="9"/>
  <c r="CF6" i="9" s="1"/>
  <c r="CE7" i="9"/>
  <c r="CF7" i="9" s="1"/>
  <c r="CE8" i="9"/>
  <c r="CF8" i="9" s="1"/>
  <c r="CE9" i="9"/>
  <c r="CF9" i="9" s="1"/>
  <c r="CE10" i="9"/>
  <c r="CF10" i="9" s="1"/>
  <c r="CE11" i="9"/>
  <c r="CF11" i="9" s="1"/>
  <c r="CE12" i="9"/>
  <c r="CF12" i="9" s="1"/>
  <c r="CE13" i="9"/>
  <c r="CF13" i="9" s="1"/>
  <c r="CE14" i="9"/>
  <c r="CF14" i="9" s="1"/>
  <c r="CE15" i="9"/>
  <c r="CF15" i="9" s="1"/>
  <c r="CE16" i="9"/>
  <c r="CF16" i="9" s="1"/>
  <c r="CE17" i="9"/>
  <c r="CF17" i="9" s="1"/>
  <c r="CE18" i="9"/>
  <c r="CF18" i="9" s="1"/>
  <c r="CE19" i="9"/>
  <c r="CF19" i="9" s="1"/>
  <c r="CE20" i="9"/>
  <c r="CF20" i="9" s="1"/>
  <c r="CE21" i="9"/>
  <c r="CF21" i="9" s="1"/>
  <c r="CE22" i="9"/>
  <c r="CF22" i="9" s="1"/>
  <c r="CE23" i="9"/>
  <c r="CF23" i="9" s="1"/>
  <c r="CE24" i="9"/>
  <c r="CF24" i="9" s="1"/>
  <c r="E29" i="6"/>
  <c r="BQ4" i="9"/>
  <c r="BS4" i="9" s="1"/>
  <c r="BV5" i="9"/>
  <c r="BW5" i="9" s="1"/>
  <c r="BV6" i="9"/>
  <c r="BW6" i="9" s="1"/>
  <c r="BV7" i="9"/>
  <c r="BW7" i="9" s="1"/>
  <c r="BV8" i="9"/>
  <c r="BW8" i="9" s="1"/>
  <c r="BV9" i="9"/>
  <c r="BW9" i="9" s="1"/>
  <c r="BV10" i="9"/>
  <c r="BW10" i="9" s="1"/>
  <c r="BV11" i="9"/>
  <c r="BW11" i="9" s="1"/>
  <c r="BV12" i="9"/>
  <c r="BW12" i="9" s="1"/>
  <c r="BV13" i="9"/>
  <c r="BW13" i="9" s="1"/>
  <c r="BV14" i="9"/>
  <c r="BW14" i="9" s="1"/>
  <c r="BV15" i="9"/>
  <c r="BW15" i="9" s="1"/>
  <c r="BV16" i="9"/>
  <c r="BW16" i="9" s="1"/>
  <c r="BV17" i="9"/>
  <c r="BW17" i="9" s="1"/>
  <c r="BV18" i="9"/>
  <c r="BW18" i="9" s="1"/>
  <c r="BV19" i="9"/>
  <c r="BW19" i="9" s="1"/>
  <c r="BV20" i="9"/>
  <c r="BW20" i="9" s="1"/>
  <c r="BV21" i="9"/>
  <c r="BW21" i="9" s="1"/>
  <c r="BV22" i="9"/>
  <c r="BW22" i="9" s="1"/>
  <c r="BV23" i="9"/>
  <c r="BW23" i="9" s="1"/>
  <c r="BV24" i="9"/>
  <c r="BW24" i="9" s="1"/>
  <c r="BW4" i="9"/>
  <c r="BP5" i="9"/>
  <c r="BQ5" i="9" s="1"/>
  <c r="BP6" i="9"/>
  <c r="BQ6" i="9" s="1"/>
  <c r="BP7" i="9"/>
  <c r="BQ7" i="9" s="1"/>
  <c r="BP8" i="9"/>
  <c r="BQ8" i="9" s="1"/>
  <c r="BP9" i="9"/>
  <c r="BQ9" i="9" s="1"/>
  <c r="BP10" i="9"/>
  <c r="BQ10" i="9" s="1"/>
  <c r="BP11" i="9"/>
  <c r="BQ11" i="9" s="1"/>
  <c r="BP12" i="9"/>
  <c r="BQ12" i="9" s="1"/>
  <c r="BP13" i="9"/>
  <c r="BQ13" i="9" s="1"/>
  <c r="BP14" i="9"/>
  <c r="BQ14" i="9" s="1"/>
  <c r="BP15" i="9"/>
  <c r="BQ15" i="9" s="1"/>
  <c r="BP16" i="9"/>
  <c r="BQ16" i="9" s="1"/>
  <c r="BP17" i="9"/>
  <c r="BQ17" i="9" s="1"/>
  <c r="BP18" i="9"/>
  <c r="BQ18" i="9" s="1"/>
  <c r="BP19" i="9"/>
  <c r="BQ19" i="9" s="1"/>
  <c r="BP20" i="9"/>
  <c r="BQ20" i="9" s="1"/>
  <c r="BP21" i="9"/>
  <c r="BQ21" i="9" s="1"/>
  <c r="BP22" i="9"/>
  <c r="BQ22" i="9" s="1"/>
  <c r="BP23" i="9"/>
  <c r="BQ23" i="9" s="1"/>
  <c r="BP24" i="9"/>
  <c r="BQ24" i="9" s="1"/>
  <c r="BJ5" i="9"/>
  <c r="BK5" i="9" s="1"/>
  <c r="BJ6" i="9"/>
  <c r="BK6" i="9" s="1"/>
  <c r="BJ8" i="9"/>
  <c r="BK8" i="9" s="1"/>
  <c r="BJ9" i="9"/>
  <c r="BK9" i="9" s="1"/>
  <c r="BJ10" i="9"/>
  <c r="BK10" i="9" s="1"/>
  <c r="BJ11" i="9"/>
  <c r="BK11" i="9" s="1"/>
  <c r="BJ12" i="9"/>
  <c r="BK12" i="9" s="1"/>
  <c r="BJ13" i="9"/>
  <c r="BK13" i="9" s="1"/>
  <c r="BJ14" i="9"/>
  <c r="BK14" i="9" s="1"/>
  <c r="BJ15" i="9"/>
  <c r="BK15" i="9" s="1"/>
  <c r="BJ16" i="9"/>
  <c r="BK16" i="9" s="1"/>
  <c r="BJ17" i="9"/>
  <c r="BK17" i="9" s="1"/>
  <c r="BJ18" i="9"/>
  <c r="BK18" i="9" s="1"/>
  <c r="BJ19" i="9"/>
  <c r="BK19" i="9" s="1"/>
  <c r="BJ20" i="9"/>
  <c r="BK20" i="9" s="1"/>
  <c r="BJ21" i="9"/>
  <c r="BK21" i="9" s="1"/>
  <c r="BJ22" i="9"/>
  <c r="BK22" i="9" s="1"/>
  <c r="BJ23" i="9"/>
  <c r="BK23" i="9" s="1"/>
  <c r="BJ24" i="9"/>
  <c r="BK24" i="9" s="1"/>
  <c r="BK4" i="9"/>
  <c r="CH11" i="11" l="1"/>
  <c r="CJ10" i="11"/>
  <c r="CK10" i="11" s="1"/>
  <c r="CI5" i="9"/>
  <c r="BL4" i="9"/>
  <c r="BX4" i="9"/>
  <c r="BX5" i="9" s="1"/>
  <c r="BX6" i="9" s="1"/>
  <c r="BX7" i="9" s="1"/>
  <c r="BX8" i="9" s="1"/>
  <c r="BX9" i="9" s="1"/>
  <c r="BX10" i="9" s="1"/>
  <c r="BX11" i="9" s="1"/>
  <c r="BX12" i="9" s="1"/>
  <c r="BX13" i="9" s="1"/>
  <c r="BX14" i="9" s="1"/>
  <c r="BX15" i="9" s="1"/>
  <c r="BX16" i="9" s="1"/>
  <c r="BX17" i="9" s="1"/>
  <c r="BX18" i="9" s="1"/>
  <c r="BX19" i="9" s="1"/>
  <c r="BX20" i="9" s="1"/>
  <c r="BX21" i="9" s="1"/>
  <c r="BX22" i="9" s="1"/>
  <c r="BX23" i="9" s="1"/>
  <c r="BX24" i="9" s="1"/>
  <c r="BS5" i="9"/>
  <c r="BS6" i="9" s="1"/>
  <c r="BS7" i="9" s="1"/>
  <c r="BS8" i="9" s="1"/>
  <c r="BS9" i="9" s="1"/>
  <c r="BS10" i="9" s="1"/>
  <c r="BS11" i="9" s="1"/>
  <c r="BS12" i="9" s="1"/>
  <c r="BS13" i="9" s="1"/>
  <c r="BS14" i="9" s="1"/>
  <c r="BS15" i="9" s="1"/>
  <c r="BS16" i="9" s="1"/>
  <c r="BS17" i="9" s="1"/>
  <c r="BS18" i="9" s="1"/>
  <c r="BS19" i="9" s="1"/>
  <c r="BS20" i="9" s="1"/>
  <c r="BS21" i="9" s="1"/>
  <c r="BS22" i="9" s="1"/>
  <c r="BS23" i="9" s="1"/>
  <c r="BS24" i="9" s="1"/>
  <c r="CG6" i="9"/>
  <c r="BY5" i="9"/>
  <c r="BY6" i="9" s="1"/>
  <c r="BY7" i="9" s="1"/>
  <c r="BY8" i="9" s="1"/>
  <c r="BY9" i="9" s="1"/>
  <c r="BY10" i="9" s="1"/>
  <c r="BY11" i="9" s="1"/>
  <c r="BY12" i="9" s="1"/>
  <c r="BY13" i="9" s="1"/>
  <c r="BY14" i="9" s="1"/>
  <c r="BY15" i="9" s="1"/>
  <c r="BY16" i="9" s="1"/>
  <c r="BY17" i="9" s="1"/>
  <c r="BY18" i="9" s="1"/>
  <c r="BY19" i="9" s="1"/>
  <c r="BY20" i="9" s="1"/>
  <c r="BY21" i="9" s="1"/>
  <c r="BY22" i="9" s="1"/>
  <c r="BY23" i="9" s="1"/>
  <c r="BY24" i="9" s="1"/>
  <c r="BR4" i="9"/>
  <c r="BR5" i="9" s="1"/>
  <c r="BR6" i="9" s="1"/>
  <c r="BR7" i="9" s="1"/>
  <c r="BR8" i="9" s="1"/>
  <c r="BR9" i="9" s="1"/>
  <c r="BR10" i="9" s="1"/>
  <c r="BR11" i="9" s="1"/>
  <c r="BR12" i="9" s="1"/>
  <c r="BR13" i="9" s="1"/>
  <c r="BR14" i="9" s="1"/>
  <c r="BR15" i="9" s="1"/>
  <c r="BR16" i="9" s="1"/>
  <c r="BR17" i="9" s="1"/>
  <c r="BR18" i="9" s="1"/>
  <c r="BR19" i="9" s="1"/>
  <c r="BR20" i="9" s="1"/>
  <c r="BR21" i="9" s="1"/>
  <c r="BR22" i="9" s="1"/>
  <c r="BR23" i="9" s="1"/>
  <c r="BR24" i="9" s="1"/>
  <c r="BM4" i="9"/>
  <c r="BM5" i="9" s="1"/>
  <c r="BM6" i="9" s="1"/>
  <c r="BM7" i="9" s="1"/>
  <c r="BM8" i="9" s="1"/>
  <c r="BM9" i="9" s="1"/>
  <c r="BM10" i="9" s="1"/>
  <c r="BM11" i="9" s="1"/>
  <c r="BM12" i="9" s="1"/>
  <c r="BM13" i="9" s="1"/>
  <c r="BM14" i="9" s="1"/>
  <c r="BM15" i="9" s="1"/>
  <c r="BM16" i="9" s="1"/>
  <c r="BM17" i="9" s="1"/>
  <c r="BM18" i="9" s="1"/>
  <c r="BM19" i="9" s="1"/>
  <c r="BM20" i="9" s="1"/>
  <c r="BM21" i="9" s="1"/>
  <c r="BM22" i="9" s="1"/>
  <c r="BM23" i="9" s="1"/>
  <c r="BM24" i="9" s="1"/>
  <c r="BL5" i="9"/>
  <c r="BL6" i="9" s="1"/>
  <c r="BL7" i="9" s="1"/>
  <c r="BL8" i="9" s="1"/>
  <c r="BL9" i="9" s="1"/>
  <c r="BL10" i="9" s="1"/>
  <c r="BL11" i="9" s="1"/>
  <c r="BL12" i="9" s="1"/>
  <c r="BL13" i="9" s="1"/>
  <c r="BL14" i="9" s="1"/>
  <c r="BL15" i="9" s="1"/>
  <c r="BL16" i="9" s="1"/>
  <c r="BL17" i="9" s="1"/>
  <c r="BL18" i="9" s="1"/>
  <c r="BL19" i="9" s="1"/>
  <c r="BL20" i="9" s="1"/>
  <c r="BL21" i="9" s="1"/>
  <c r="BL22" i="9" s="1"/>
  <c r="BL23" i="9" s="1"/>
  <c r="BL24" i="9" s="1"/>
  <c r="CJ11" i="11" l="1"/>
  <c r="CK11" i="11" s="1"/>
  <c r="CH12" i="11"/>
  <c r="CG7" i="9"/>
  <c r="CI6" i="9"/>
  <c r="H31" i="6"/>
  <c r="E32" i="6"/>
  <c r="G32" i="6" s="1"/>
  <c r="H32" i="6" s="1"/>
  <c r="D50" i="6"/>
  <c r="C50" i="6"/>
  <c r="B50" i="6"/>
  <c r="H49" i="6"/>
  <c r="E49" i="6"/>
  <c r="E48" i="6"/>
  <c r="G48" i="6" s="1"/>
  <c r="H48" i="6" s="1"/>
  <c r="E47" i="6"/>
  <c r="G47" i="6" s="1"/>
  <c r="H47" i="6" s="1"/>
  <c r="E46" i="6"/>
  <c r="G46" i="6" s="1"/>
  <c r="H46" i="6" s="1"/>
  <c r="E45" i="6"/>
  <c r="G45" i="6" s="1"/>
  <c r="H45" i="6" s="1"/>
  <c r="E44" i="6"/>
  <c r="G44" i="6" s="1"/>
  <c r="H44" i="6" s="1"/>
  <c r="E43" i="6"/>
  <c r="G43" i="6" s="1"/>
  <c r="H43" i="6" s="1"/>
  <c r="E42" i="6"/>
  <c r="G42" i="6" s="1"/>
  <c r="H42" i="6" s="1"/>
  <c r="E41" i="6"/>
  <c r="G41" i="6" s="1"/>
  <c r="H41" i="6" s="1"/>
  <c r="E40" i="6"/>
  <c r="G40" i="6" s="1"/>
  <c r="H40" i="6" s="1"/>
  <c r="E39" i="6"/>
  <c r="G39" i="6" s="1"/>
  <c r="H39" i="6" s="1"/>
  <c r="E38" i="6"/>
  <c r="G38" i="6" s="1"/>
  <c r="H38" i="6" s="1"/>
  <c r="E37" i="6"/>
  <c r="G37" i="6" s="1"/>
  <c r="H37" i="6" s="1"/>
  <c r="E36" i="6"/>
  <c r="G36" i="6" s="1"/>
  <c r="H36" i="6" s="1"/>
  <c r="E35" i="6"/>
  <c r="G35" i="6" s="1"/>
  <c r="H35" i="6" s="1"/>
  <c r="E34" i="6"/>
  <c r="G34" i="6" s="1"/>
  <c r="H34" i="6" s="1"/>
  <c r="E33" i="6"/>
  <c r="G33" i="6" s="1"/>
  <c r="H33" i="6" s="1"/>
  <c r="E31" i="6"/>
  <c r="G31" i="6" s="1"/>
  <c r="E30" i="6"/>
  <c r="H30" i="6" s="1"/>
  <c r="F29" i="6"/>
  <c r="G29" i="6" s="1"/>
  <c r="AX25" i="9"/>
  <c r="CJ12" i="11" l="1"/>
  <c r="CK12" i="11" s="1"/>
  <c r="CH13" i="11"/>
  <c r="CG8" i="9"/>
  <c r="CI7" i="9"/>
  <c r="H29" i="6"/>
  <c r="I30" i="6" s="1"/>
  <c r="X5" i="9"/>
  <c r="AB5" i="9" s="1"/>
  <c r="X6" i="9"/>
  <c r="AG6" i="9" s="1"/>
  <c r="X7" i="9"/>
  <c r="AD7" i="9" s="1"/>
  <c r="X8" i="9"/>
  <c r="AM8" i="9" s="1"/>
  <c r="X9" i="9"/>
  <c r="AB9" i="9" s="1"/>
  <c r="X10" i="9"/>
  <c r="AI10" i="9" s="1"/>
  <c r="X11" i="9"/>
  <c r="AM11" i="9" s="1"/>
  <c r="X12" i="9"/>
  <c r="AI12" i="9" s="1"/>
  <c r="X13" i="9"/>
  <c r="AB13" i="9" s="1"/>
  <c r="X14" i="9"/>
  <c r="AG14" i="9" s="1"/>
  <c r="X15" i="9"/>
  <c r="AD15" i="9" s="1"/>
  <c r="X16" i="9"/>
  <c r="AE16" i="9" s="1"/>
  <c r="X17" i="9"/>
  <c r="AJ17" i="9" s="1"/>
  <c r="X18" i="9"/>
  <c r="AO18" i="9" s="1"/>
  <c r="X19" i="9"/>
  <c r="X20" i="9"/>
  <c r="AB20" i="9" s="1"/>
  <c r="X21" i="9"/>
  <c r="AB21" i="9" s="1"/>
  <c r="X22" i="9"/>
  <c r="AG22" i="9" s="1"/>
  <c r="X23" i="9"/>
  <c r="AD23" i="9" s="1"/>
  <c r="X24" i="9"/>
  <c r="AM24" i="9" s="1"/>
  <c r="X25" i="9"/>
  <c r="AT25" i="9" s="1"/>
  <c r="X4" i="9"/>
  <c r="CJ13" i="11" l="1"/>
  <c r="CK13" i="11" s="1"/>
  <c r="CH14" i="11"/>
  <c r="K29" i="6"/>
  <c r="J30" i="6"/>
  <c r="CG9" i="9"/>
  <c r="CI8" i="9"/>
  <c r="AS7" i="9"/>
  <c r="AR23" i="9"/>
  <c r="AC7" i="9"/>
  <c r="AQ23" i="9"/>
  <c r="AQ7" i="9"/>
  <c r="AC23" i="9"/>
  <c r="AH7" i="9"/>
  <c r="AO15" i="9"/>
  <c r="AK15" i="9"/>
  <c r="AC15" i="9"/>
  <c r="AC4" i="9"/>
  <c r="AK20" i="9"/>
  <c r="AL9" i="9"/>
  <c r="I31" i="6"/>
  <c r="K30" i="6" s="1"/>
  <c r="AN21" i="9"/>
  <c r="AL21" i="9"/>
  <c r="AJ25" i="9"/>
  <c r="AD21" i="9"/>
  <c r="AQ13" i="9"/>
  <c r="AP7" i="9"/>
  <c r="AI13" i="9"/>
  <c r="AJ20" i="9"/>
  <c r="AI23" i="9"/>
  <c r="AD17" i="9"/>
  <c r="AC12" i="9"/>
  <c r="AB7" i="9"/>
  <c r="AG13" i="9"/>
  <c r="AG23" i="9"/>
  <c r="AQ15" i="9"/>
  <c r="AI5" i="9"/>
  <c r="AD24" i="9"/>
  <c r="AQ22" i="9"/>
  <c r="AE22" i="9"/>
  <c r="AL14" i="9"/>
  <c r="AB14" i="9"/>
  <c r="AN6" i="9"/>
  <c r="AD6" i="9"/>
  <c r="AM5" i="9"/>
  <c r="AT24" i="9"/>
  <c r="AS23" i="9"/>
  <c r="AH23" i="9"/>
  <c r="AN22" i="9"/>
  <c r="AD22" i="9"/>
  <c r="AM21" i="9"/>
  <c r="AT20" i="9"/>
  <c r="AC17" i="9"/>
  <c r="AP15" i="9"/>
  <c r="AB15" i="9"/>
  <c r="AK14" i="9"/>
  <c r="AT13" i="9"/>
  <c r="AH13" i="9"/>
  <c r="AB12" i="9"/>
  <c r="AR7" i="9"/>
  <c r="AG7" i="9"/>
  <c r="AM6" i="9"/>
  <c r="AC6" i="9"/>
  <c r="AL5" i="9"/>
  <c r="AC22" i="9"/>
  <c r="AL6" i="9"/>
  <c r="AL22" i="9"/>
  <c r="AL16" i="9"/>
  <c r="AP13" i="9"/>
  <c r="AT5" i="9"/>
  <c r="AN24" i="9"/>
  <c r="AP23" i="9"/>
  <c r="AB23" i="9"/>
  <c r="AK22" i="9"/>
  <c r="AT21" i="9"/>
  <c r="AH21" i="9"/>
  <c r="AI20" i="9"/>
  <c r="AH16" i="9"/>
  <c r="AJ15" i="9"/>
  <c r="AR14" i="9"/>
  <c r="AF14" i="9"/>
  <c r="AO13" i="9"/>
  <c r="AE13" i="9"/>
  <c r="AK9" i="9"/>
  <c r="AO7" i="9"/>
  <c r="AT6" i="9"/>
  <c r="AJ6" i="9"/>
  <c r="AQ5" i="9"/>
  <c r="AG5" i="9"/>
  <c r="AT14" i="9"/>
  <c r="AF13" i="9"/>
  <c r="AK6" i="9"/>
  <c r="AR4" i="9"/>
  <c r="AG24" i="9"/>
  <c r="AO23" i="9"/>
  <c r="AT22" i="9"/>
  <c r="AJ22" i="9"/>
  <c r="AQ21" i="9"/>
  <c r="AG21" i="9"/>
  <c r="AJ18" i="9"/>
  <c r="AG16" i="9"/>
  <c r="AI15" i="9"/>
  <c r="AQ14" i="9"/>
  <c r="AE14" i="9"/>
  <c r="AN13" i="9"/>
  <c r="AD13" i="9"/>
  <c r="AO8" i="9"/>
  <c r="AK7" i="9"/>
  <c r="AS6" i="9"/>
  <c r="AI6" i="9"/>
  <c r="AP5" i="9"/>
  <c r="AF5" i="9"/>
  <c r="AM22" i="9"/>
  <c r="AN16" i="9"/>
  <c r="AJ14" i="9"/>
  <c r="AO24" i="9"/>
  <c r="AB22" i="9"/>
  <c r="AI14" i="9"/>
  <c r="AG4" i="9"/>
  <c r="AF24" i="9"/>
  <c r="AK23" i="9"/>
  <c r="AS22" i="9"/>
  <c r="AI22" i="9"/>
  <c r="AP21" i="9"/>
  <c r="AF21" i="9"/>
  <c r="AR17" i="9"/>
  <c r="AS15" i="9"/>
  <c r="AH15" i="9"/>
  <c r="AN14" i="9"/>
  <c r="AD14" i="9"/>
  <c r="AM13" i="9"/>
  <c r="AR12" i="9"/>
  <c r="AN8" i="9"/>
  <c r="AJ7" i="9"/>
  <c r="AR6" i="9"/>
  <c r="AF6" i="9"/>
  <c r="AO5" i="9"/>
  <c r="AE5" i="9"/>
  <c r="AP24" i="9"/>
  <c r="AB6" i="9"/>
  <c r="AI21" i="9"/>
  <c r="AS14" i="9"/>
  <c r="AH5" i="9"/>
  <c r="AK25" i="9"/>
  <c r="AE24" i="9"/>
  <c r="AJ23" i="9"/>
  <c r="AR22" i="9"/>
  <c r="AF22" i="9"/>
  <c r="AO21" i="9"/>
  <c r="AE21" i="9"/>
  <c r="AQ17" i="9"/>
  <c r="AR15" i="9"/>
  <c r="AG15" i="9"/>
  <c r="AM14" i="9"/>
  <c r="AC14" i="9"/>
  <c r="AL13" i="9"/>
  <c r="AQ12" i="9"/>
  <c r="AI7" i="9"/>
  <c r="AQ6" i="9"/>
  <c r="AE6" i="9"/>
  <c r="AN5" i="9"/>
  <c r="AD5" i="9"/>
  <c r="AH19" i="9"/>
  <c r="AP19" i="9"/>
  <c r="AB19" i="9"/>
  <c r="AJ19" i="9"/>
  <c r="AI19" i="9"/>
  <c r="AQ19" i="9"/>
  <c r="AR19" i="9"/>
  <c r="AC10" i="9"/>
  <c r="AK10" i="9"/>
  <c r="AS10" i="9"/>
  <c r="AM10" i="9"/>
  <c r="AF10" i="9"/>
  <c r="AN10" i="9"/>
  <c r="AD10" i="9"/>
  <c r="AL10" i="9"/>
  <c r="AT10" i="9"/>
  <c r="AE10" i="9"/>
  <c r="AO19" i="9"/>
  <c r="AF25" i="9"/>
  <c r="AN25" i="9"/>
  <c r="AH25" i="9"/>
  <c r="AG25" i="9"/>
  <c r="AO25" i="9"/>
  <c r="AP25" i="9"/>
  <c r="AN19" i="9"/>
  <c r="AH18" i="9"/>
  <c r="AG10" i="9"/>
  <c r="AI8" i="9"/>
  <c r="AQ8" i="9"/>
  <c r="AC8" i="9"/>
  <c r="AK8" i="9"/>
  <c r="AL8" i="9"/>
  <c r="AT8" i="9"/>
  <c r="AB8" i="9"/>
  <c r="AJ8" i="9"/>
  <c r="AR8" i="9"/>
  <c r="AS8" i="9"/>
  <c r="AD8" i="9"/>
  <c r="AS25" i="9"/>
  <c r="AS20" i="9"/>
  <c r="AM19" i="9"/>
  <c r="AL17" i="9"/>
  <c r="AF16" i="9"/>
  <c r="AR10" i="9"/>
  <c r="AE9" i="9"/>
  <c r="AD25" i="9"/>
  <c r="AR20" i="9"/>
  <c r="AL19" i="9"/>
  <c r="AF18" i="9"/>
  <c r="AK17" i="9"/>
  <c r="AK12" i="9"/>
  <c r="AN11" i="9"/>
  <c r="AQ10" i="9"/>
  <c r="AT9" i="9"/>
  <c r="AD9" i="9"/>
  <c r="AG8" i="9"/>
  <c r="AS19" i="9"/>
  <c r="AD4" i="9"/>
  <c r="AL4" i="9"/>
  <c r="AT4" i="9"/>
  <c r="AF4" i="9"/>
  <c r="AE4" i="9"/>
  <c r="AM4" i="9"/>
  <c r="AN4" i="9"/>
  <c r="AH10" i="9"/>
  <c r="AI25" i="9"/>
  <c r="AC19" i="9"/>
  <c r="AM17" i="9"/>
  <c r="AB17" i="9"/>
  <c r="AP12" i="9"/>
  <c r="AT11" i="9"/>
  <c r="AD11" i="9"/>
  <c r="AJ9" i="9"/>
  <c r="AI24" i="9"/>
  <c r="AQ24" i="9"/>
  <c r="AK24" i="9"/>
  <c r="AB24" i="9"/>
  <c r="AJ24" i="9"/>
  <c r="AR24" i="9"/>
  <c r="AC24" i="9"/>
  <c r="AS24" i="9"/>
  <c r="AI16" i="9"/>
  <c r="AQ16" i="9"/>
  <c r="AC16" i="9"/>
  <c r="AS16" i="9"/>
  <c r="AB16" i="9"/>
  <c r="AJ16" i="9"/>
  <c r="AR16" i="9"/>
  <c r="AK16" i="9"/>
  <c r="AO4" i="9"/>
  <c r="AE25" i="9"/>
  <c r="AH20" i="9"/>
  <c r="AR18" i="9"/>
  <c r="AG18" i="9"/>
  <c r="AT16" i="9"/>
  <c r="AL12" i="9"/>
  <c r="AO11" i="9"/>
  <c r="AB10" i="9"/>
  <c r="AH8" i="9"/>
  <c r="AK4" i="9"/>
  <c r="AR25" i="9"/>
  <c r="AL24" i="9"/>
  <c r="AD20" i="9"/>
  <c r="AQ18" i="9"/>
  <c r="AP16" i="9"/>
  <c r="AJ4" i="9"/>
  <c r="AQ25" i="9"/>
  <c r="AC25" i="9"/>
  <c r="AH24" i="9"/>
  <c r="AQ20" i="9"/>
  <c r="AC20" i="9"/>
  <c r="AK19" i="9"/>
  <c r="AP18" i="9"/>
  <c r="AB18" i="9"/>
  <c r="AO16" i="9"/>
  <c r="AD16" i="9"/>
  <c r="AJ12" i="9"/>
  <c r="AP10" i="9"/>
  <c r="AS9" i="9"/>
  <c r="AC9" i="9"/>
  <c r="AF8" i="9"/>
  <c r="AH11" i="9"/>
  <c r="AP11" i="9"/>
  <c r="AJ11" i="9"/>
  <c r="AK11" i="9"/>
  <c r="AI11" i="9"/>
  <c r="AQ11" i="9"/>
  <c r="AB11" i="9"/>
  <c r="AR11" i="9"/>
  <c r="AC11" i="9"/>
  <c r="AS11" i="9"/>
  <c r="AE19" i="9"/>
  <c r="AQ4" i="9"/>
  <c r="AD19" i="9"/>
  <c r="AE11" i="9"/>
  <c r="AF17" i="9"/>
  <c r="AN17" i="9"/>
  <c r="AH17" i="9"/>
  <c r="AG17" i="9"/>
  <c r="AO17" i="9"/>
  <c r="AP17" i="9"/>
  <c r="AP4" i="9"/>
  <c r="AI4" i="9"/>
  <c r="AM25" i="9"/>
  <c r="AB25" i="9"/>
  <c r="AP20" i="9"/>
  <c r="AG19" i="9"/>
  <c r="AT17" i="9"/>
  <c r="AI17" i="9"/>
  <c r="AT12" i="9"/>
  <c r="AL11" i="9"/>
  <c r="AO10" i="9"/>
  <c r="AR9" i="9"/>
  <c r="AE8" i="9"/>
  <c r="AF11" i="9"/>
  <c r="AC18" i="9"/>
  <c r="AK18" i="9"/>
  <c r="AS18" i="9"/>
  <c r="AE18" i="9"/>
  <c r="AD18" i="9"/>
  <c r="AL18" i="9"/>
  <c r="AT18" i="9"/>
  <c r="AM18" i="9"/>
  <c r="AI18" i="9"/>
  <c r="AF9" i="9"/>
  <c r="AN9" i="9"/>
  <c r="AH9" i="9"/>
  <c r="AP9" i="9"/>
  <c r="AI9" i="9"/>
  <c r="AG9" i="9"/>
  <c r="AO9" i="9"/>
  <c r="AQ9" i="9"/>
  <c r="AE20" i="9"/>
  <c r="AM20" i="9"/>
  <c r="AG20" i="9"/>
  <c r="AF20" i="9"/>
  <c r="AN20" i="9"/>
  <c r="AO20" i="9"/>
  <c r="AE12" i="9"/>
  <c r="AM12" i="9"/>
  <c r="AG12" i="9"/>
  <c r="AH12" i="9"/>
  <c r="AF12" i="9"/>
  <c r="AN12" i="9"/>
  <c r="AO12" i="9"/>
  <c r="AS4" i="9"/>
  <c r="AH4" i="9"/>
  <c r="AL25" i="9"/>
  <c r="AL20" i="9"/>
  <c r="AT19" i="9"/>
  <c r="AF19" i="9"/>
  <c r="AN18" i="9"/>
  <c r="AS17" i="9"/>
  <c r="AE17" i="9"/>
  <c r="AM16" i="9"/>
  <c r="AS12" i="9"/>
  <c r="AD12" i="9"/>
  <c r="AG11" i="9"/>
  <c r="AJ10" i="9"/>
  <c r="AM9" i="9"/>
  <c r="AP8" i="9"/>
  <c r="AF23" i="9"/>
  <c r="AN15" i="9"/>
  <c r="AN7" i="9"/>
  <c r="AM23" i="9"/>
  <c r="AE23" i="9"/>
  <c r="AP22" i="9"/>
  <c r="AH22" i="9"/>
  <c r="AS21" i="9"/>
  <c r="AK21" i="9"/>
  <c r="AC21" i="9"/>
  <c r="AM15" i="9"/>
  <c r="AE15" i="9"/>
  <c r="AP14" i="9"/>
  <c r="AH14" i="9"/>
  <c r="AS13" i="9"/>
  <c r="AK13" i="9"/>
  <c r="AC13" i="9"/>
  <c r="AM7" i="9"/>
  <c r="AE7" i="9"/>
  <c r="AP6" i="9"/>
  <c r="AH6" i="9"/>
  <c r="AS5" i="9"/>
  <c r="AK5" i="9"/>
  <c r="AC5" i="9"/>
  <c r="AN23" i="9"/>
  <c r="AF15" i="9"/>
  <c r="AF7" i="9"/>
  <c r="AT23" i="9"/>
  <c r="AL23" i="9"/>
  <c r="AO22" i="9"/>
  <c r="AR21" i="9"/>
  <c r="AJ21" i="9"/>
  <c r="AT15" i="9"/>
  <c r="AL15" i="9"/>
  <c r="AO14" i="9"/>
  <c r="AR13" i="9"/>
  <c r="AJ13" i="9"/>
  <c r="AT7" i="9"/>
  <c r="AL7" i="9"/>
  <c r="AO6" i="9"/>
  <c r="AR5" i="9"/>
  <c r="AJ5" i="9"/>
  <c r="CJ14" i="11" l="1"/>
  <c r="CK14" i="11" s="1"/>
  <c r="CH15" i="11"/>
  <c r="CG10" i="9"/>
  <c r="CI9" i="9"/>
  <c r="J31" i="6"/>
  <c r="I32" i="6"/>
  <c r="K31" i="6" s="1"/>
  <c r="W13" i="9"/>
  <c r="Y13" i="9" s="1"/>
  <c r="CH13" i="9" s="1"/>
  <c r="W14" i="9"/>
  <c r="Y14" i="9" s="1"/>
  <c r="CH14" i="9" s="1"/>
  <c r="W25" i="9"/>
  <c r="Y25" i="9" s="1"/>
  <c r="W24" i="9"/>
  <c r="Y24" i="9" s="1"/>
  <c r="CH24" i="9" s="1"/>
  <c r="W23" i="9"/>
  <c r="Y23" i="9" s="1"/>
  <c r="CH23" i="9" s="1"/>
  <c r="W22" i="9"/>
  <c r="Y22" i="9" s="1"/>
  <c r="CH22" i="9" s="1"/>
  <c r="W21" i="9"/>
  <c r="Y21" i="9" s="1"/>
  <c r="CH21" i="9" s="1"/>
  <c r="W20" i="9"/>
  <c r="Y20" i="9" s="1"/>
  <c r="CH20" i="9" s="1"/>
  <c r="W19" i="9"/>
  <c r="Y19" i="9" s="1"/>
  <c r="CH19" i="9" s="1"/>
  <c r="W18" i="9"/>
  <c r="Y18" i="9" s="1"/>
  <c r="CH18" i="9" s="1"/>
  <c r="W17" i="9"/>
  <c r="Y17" i="9" s="1"/>
  <c r="CH17" i="9" s="1"/>
  <c r="W16" i="9"/>
  <c r="Y16" i="9" s="1"/>
  <c r="CH16" i="9" s="1"/>
  <c r="W15" i="9"/>
  <c r="Y15" i="9" s="1"/>
  <c r="CH15" i="9" s="1"/>
  <c r="W12" i="9"/>
  <c r="Y12" i="9" s="1"/>
  <c r="CH12" i="9" s="1"/>
  <c r="W11" i="9"/>
  <c r="Y11" i="9" s="1"/>
  <c r="CH11" i="9" s="1"/>
  <c r="W10" i="9"/>
  <c r="Y10" i="9" s="1"/>
  <c r="CH10" i="9" s="1"/>
  <c r="W9" i="9"/>
  <c r="Y9" i="9" s="1"/>
  <c r="CH9" i="9" s="1"/>
  <c r="W8" i="9"/>
  <c r="Y8" i="9" s="1"/>
  <c r="CH8" i="9" s="1"/>
  <c r="CJ8" i="9" s="1"/>
  <c r="W7" i="9"/>
  <c r="Y7" i="9" s="1"/>
  <c r="CH7" i="9" s="1"/>
  <c r="CJ7" i="9" s="1"/>
  <c r="W6" i="9"/>
  <c r="Y6" i="9" s="1"/>
  <c r="CH6" i="9" s="1"/>
  <c r="CJ6" i="9" s="1"/>
  <c r="W5" i="9"/>
  <c r="Y5" i="9" s="1"/>
  <c r="CH5" i="9" s="1"/>
  <c r="CJ5" i="9" s="1"/>
  <c r="W4" i="9"/>
  <c r="Y4" i="9" s="1"/>
  <c r="O4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N4" i="8"/>
  <c r="N5" i="8"/>
  <c r="N6" i="8"/>
  <c r="N7" i="8"/>
  <c r="N8" i="8"/>
  <c r="P8" i="8" s="1"/>
  <c r="N9" i="8"/>
  <c r="P9" i="8" s="1"/>
  <c r="N10" i="8"/>
  <c r="P10" i="8" s="1"/>
  <c r="N11" i="8"/>
  <c r="P11" i="8" s="1"/>
  <c r="N12" i="8"/>
  <c r="N13" i="8"/>
  <c r="N14" i="8"/>
  <c r="N15" i="8"/>
  <c r="N16" i="8"/>
  <c r="P16" i="8" s="1"/>
  <c r="N17" i="8"/>
  <c r="P17" i="8" s="1"/>
  <c r="N18" i="8"/>
  <c r="P18" i="8" s="1"/>
  <c r="N19" i="8"/>
  <c r="P19" i="8" s="1"/>
  <c r="N20" i="8"/>
  <c r="N21" i="8"/>
  <c r="N22" i="8"/>
  <c r="N23" i="8"/>
  <c r="P23" i="8" s="1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CJ15" i="11" l="1"/>
  <c r="CK15" i="11" s="1"/>
  <c r="CH16" i="11"/>
  <c r="CJ9" i="9"/>
  <c r="P7" i="8"/>
  <c r="P22" i="8"/>
  <c r="P14" i="8"/>
  <c r="P6" i="8"/>
  <c r="P15" i="8"/>
  <c r="P21" i="8"/>
  <c r="P13" i="8"/>
  <c r="P5" i="8"/>
  <c r="P20" i="8"/>
  <c r="P12" i="8"/>
  <c r="P4" i="8"/>
  <c r="CG11" i="9"/>
  <c r="CI10" i="9"/>
  <c r="CJ10" i="9" s="1"/>
  <c r="J32" i="6"/>
  <c r="I33" i="6"/>
  <c r="CJ16" i="11" l="1"/>
  <c r="CK16" i="11" s="1"/>
  <c r="CH17" i="11"/>
  <c r="P24" i="8"/>
  <c r="Q11" i="8"/>
  <c r="Q17" i="8"/>
  <c r="Q20" i="8"/>
  <c r="Q10" i="8"/>
  <c r="I34" i="6"/>
  <c r="K32" i="6"/>
  <c r="CG12" i="9"/>
  <c r="CI11" i="9"/>
  <c r="CJ11" i="9" s="1"/>
  <c r="J33" i="6"/>
  <c r="H23" i="6"/>
  <c r="G5" i="6"/>
  <c r="H5" i="6" s="1"/>
  <c r="G9" i="6"/>
  <c r="H9" i="6" s="1"/>
  <c r="G10" i="6"/>
  <c r="H10" i="6" s="1"/>
  <c r="G14" i="6"/>
  <c r="H14" i="6" s="1"/>
  <c r="G15" i="6"/>
  <c r="H15" i="6" s="1"/>
  <c r="G17" i="6"/>
  <c r="H17" i="6" s="1"/>
  <c r="G18" i="6"/>
  <c r="H18" i="6" s="1"/>
  <c r="G22" i="6"/>
  <c r="H22" i="6" s="1"/>
  <c r="E4" i="6"/>
  <c r="E5" i="6"/>
  <c r="E6" i="6"/>
  <c r="G6" i="6" s="1"/>
  <c r="H6" i="6" s="1"/>
  <c r="E7" i="6"/>
  <c r="G7" i="6" s="1"/>
  <c r="H7" i="6" s="1"/>
  <c r="E8" i="6"/>
  <c r="G8" i="6" s="1"/>
  <c r="H8" i="6" s="1"/>
  <c r="E9" i="6"/>
  <c r="E10" i="6"/>
  <c r="E11" i="6"/>
  <c r="G11" i="6" s="1"/>
  <c r="H11" i="6" s="1"/>
  <c r="E12" i="6"/>
  <c r="G12" i="6" s="1"/>
  <c r="H12" i="6" s="1"/>
  <c r="E13" i="6"/>
  <c r="G13" i="6" s="1"/>
  <c r="H13" i="6" s="1"/>
  <c r="E14" i="6"/>
  <c r="E15" i="6"/>
  <c r="E16" i="6"/>
  <c r="G16" i="6" s="1"/>
  <c r="H16" i="6" s="1"/>
  <c r="E17" i="6"/>
  <c r="E18" i="6"/>
  <c r="E19" i="6"/>
  <c r="G19" i="6" s="1"/>
  <c r="H19" i="6" s="1"/>
  <c r="E20" i="6"/>
  <c r="G20" i="6" s="1"/>
  <c r="H20" i="6" s="1"/>
  <c r="E21" i="6"/>
  <c r="G21" i="6" s="1"/>
  <c r="H21" i="6" s="1"/>
  <c r="E22" i="6"/>
  <c r="E23" i="6"/>
  <c r="D24" i="6"/>
  <c r="C24" i="6"/>
  <c r="B24" i="6"/>
  <c r="Q21" i="8" l="1"/>
  <c r="Q3" i="8"/>
  <c r="Q13" i="8"/>
  <c r="Q9" i="8"/>
  <c r="Q6" i="8"/>
  <c r="Q22" i="8"/>
  <c r="Q14" i="8"/>
  <c r="Q12" i="8"/>
  <c r="Q19" i="8"/>
  <c r="Q23" i="8"/>
  <c r="R23" i="8" s="1"/>
  <c r="R22" i="8" s="1"/>
  <c r="R21" i="8" s="1"/>
  <c r="R20" i="8" s="1"/>
  <c r="R19" i="8" s="1"/>
  <c r="R18" i="8" s="1"/>
  <c r="R17" i="8" s="1"/>
  <c r="Q18" i="8"/>
  <c r="Q15" i="8"/>
  <c r="Q5" i="8"/>
  <c r="Q16" i="8"/>
  <c r="Q7" i="8"/>
  <c r="D21" i="12"/>
  <c r="Q4" i="8"/>
  <c r="G3" i="6"/>
  <c r="J3" i="6" s="1"/>
  <c r="CJ17" i="11"/>
  <c r="CK17" i="11" s="1"/>
  <c r="CH18" i="11"/>
  <c r="Q8" i="8"/>
  <c r="K33" i="6"/>
  <c r="CG13" i="9"/>
  <c r="CI12" i="9"/>
  <c r="CJ12" i="9" s="1"/>
  <c r="J34" i="6"/>
  <c r="I35" i="6"/>
  <c r="K34" i="6" s="1"/>
  <c r="H4" i="6"/>
  <c r="H3" i="6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B22" i="2"/>
  <c r="R16" i="8" l="1"/>
  <c r="R15" i="8" s="1"/>
  <c r="R14" i="8" s="1"/>
  <c r="R13" i="8" s="1"/>
  <c r="R12" i="8" s="1"/>
  <c r="R11" i="8" s="1"/>
  <c r="R10" i="8" s="1"/>
  <c r="R9" i="8" s="1"/>
  <c r="R8" i="8" s="1"/>
  <c r="R7" i="8" s="1"/>
  <c r="R6" i="8" s="1"/>
  <c r="R5" i="8" s="1"/>
  <c r="R4" i="8" s="1"/>
  <c r="R3" i="8" s="1"/>
  <c r="T20" i="8"/>
  <c r="T19" i="8"/>
  <c r="E17" i="12"/>
  <c r="E21" i="12"/>
  <c r="E16" i="12"/>
  <c r="K3" i="6"/>
  <c r="CJ18" i="11"/>
  <c r="CK18" i="11" s="1"/>
  <c r="CH19" i="11"/>
  <c r="CG14" i="9"/>
  <c r="CI13" i="9"/>
  <c r="CJ13" i="9" s="1"/>
  <c r="J35" i="6"/>
  <c r="I36" i="6"/>
  <c r="K35" i="6" s="1"/>
  <c r="I5" i="6"/>
  <c r="J4" i="6"/>
  <c r="K4" i="6" l="1"/>
  <c r="CJ19" i="11"/>
  <c r="CK19" i="11" s="1"/>
  <c r="CH20" i="11"/>
  <c r="CG15" i="9"/>
  <c r="CI14" i="9"/>
  <c r="CJ14" i="9" s="1"/>
  <c r="J36" i="6"/>
  <c r="I37" i="6"/>
  <c r="K36" i="6" s="1"/>
  <c r="I6" i="6"/>
  <c r="J5" i="6"/>
  <c r="K5" i="6" l="1"/>
  <c r="CJ20" i="11"/>
  <c r="CK20" i="11" s="1"/>
  <c r="CH21" i="11"/>
  <c r="CG16" i="9"/>
  <c r="CI15" i="9"/>
  <c r="CJ15" i="9" s="1"/>
  <c r="J37" i="6"/>
  <c r="I38" i="6"/>
  <c r="K37" i="6" s="1"/>
  <c r="I7" i="6"/>
  <c r="J6" i="6"/>
  <c r="J7" i="6" l="1"/>
  <c r="K6" i="6"/>
  <c r="CJ21" i="11"/>
  <c r="CK21" i="11" s="1"/>
  <c r="CH22" i="11"/>
  <c r="CG17" i="9"/>
  <c r="CI16" i="9"/>
  <c r="CJ16" i="9" s="1"/>
  <c r="J38" i="6"/>
  <c r="I39" i="6"/>
  <c r="K38" i="6" s="1"/>
  <c r="I8" i="6"/>
  <c r="K7" i="6" l="1"/>
  <c r="CJ22" i="11"/>
  <c r="CK22" i="11" s="1"/>
  <c r="CH23" i="11"/>
  <c r="CG18" i="9"/>
  <c r="CI17" i="9"/>
  <c r="CJ17" i="9" s="1"/>
  <c r="J39" i="6"/>
  <c r="I40" i="6"/>
  <c r="K39" i="6" s="1"/>
  <c r="I9" i="6"/>
  <c r="J8" i="6"/>
  <c r="K8" i="6" l="1"/>
  <c r="CJ23" i="11"/>
  <c r="CK23" i="11" s="1"/>
  <c r="CH24" i="11"/>
  <c r="CJ24" i="11" s="1"/>
  <c r="CK24" i="11" s="1"/>
  <c r="CG19" i="9"/>
  <c r="CI18" i="9"/>
  <c r="CJ18" i="9" s="1"/>
  <c r="J40" i="6"/>
  <c r="I41" i="6"/>
  <c r="K40" i="6" s="1"/>
  <c r="I10" i="6"/>
  <c r="J9" i="6"/>
  <c r="K9" i="6" l="1"/>
  <c r="CL4" i="11"/>
  <c r="CM4" i="11" s="1"/>
  <c r="CG20" i="9"/>
  <c r="CI19" i="9"/>
  <c r="CJ19" i="9" s="1"/>
  <c r="J41" i="6"/>
  <c r="I42" i="6"/>
  <c r="K41" i="6" s="1"/>
  <c r="I11" i="6"/>
  <c r="J10" i="6"/>
  <c r="K10" i="6" l="1"/>
  <c r="CN4" i="11"/>
  <c r="CO4" i="11" s="1"/>
  <c r="CL5" i="11"/>
  <c r="CL6" i="11" s="1"/>
  <c r="CG21" i="9"/>
  <c r="CI20" i="9"/>
  <c r="CJ20" i="9" s="1"/>
  <c r="J42" i="6"/>
  <c r="I43" i="6"/>
  <c r="K42" i="6" s="1"/>
  <c r="I12" i="6"/>
  <c r="J11" i="6"/>
  <c r="K11" i="6" l="1"/>
  <c r="CM5" i="11"/>
  <c r="CL7" i="11"/>
  <c r="CM6" i="11"/>
  <c r="CG22" i="9"/>
  <c r="CI21" i="9"/>
  <c r="CJ21" i="9" s="1"/>
  <c r="J43" i="6"/>
  <c r="I44" i="6"/>
  <c r="K43" i="6" s="1"/>
  <c r="J12" i="6"/>
  <c r="I13" i="6"/>
  <c r="K12" i="6" s="1"/>
  <c r="CL8" i="11" l="1"/>
  <c r="CM7" i="11"/>
  <c r="CG23" i="9"/>
  <c r="CI22" i="9"/>
  <c r="CJ22" i="9" s="1"/>
  <c r="J44" i="6"/>
  <c r="I45" i="6"/>
  <c r="K44" i="6" s="1"/>
  <c r="I14" i="6"/>
  <c r="J13" i="6"/>
  <c r="K13" i="6" l="1"/>
  <c r="CL9" i="11"/>
  <c r="CM8" i="11"/>
  <c r="CI24" i="9"/>
  <c r="CJ24" i="9" s="1"/>
  <c r="CI23" i="9"/>
  <c r="CJ23" i="9" s="1"/>
  <c r="J45" i="6"/>
  <c r="I46" i="6"/>
  <c r="K45" i="6" s="1"/>
  <c r="I15" i="6"/>
  <c r="J14" i="6"/>
  <c r="K14" i="6" l="1"/>
  <c r="CL10" i="11"/>
  <c r="CM9" i="11"/>
  <c r="CK4" i="9"/>
  <c r="J46" i="6"/>
  <c r="I47" i="6"/>
  <c r="K46" i="6" s="1"/>
  <c r="I16" i="6"/>
  <c r="J15" i="6"/>
  <c r="K15" i="6" l="1"/>
  <c r="CL11" i="11"/>
  <c r="CM10" i="11"/>
  <c r="CL4" i="9"/>
  <c r="CK5" i="9"/>
  <c r="J47" i="6"/>
  <c r="I48" i="6"/>
  <c r="K47" i="6" s="1"/>
  <c r="I17" i="6"/>
  <c r="J16" i="6"/>
  <c r="K16" i="6" l="1"/>
  <c r="CL12" i="11"/>
  <c r="CM11" i="11"/>
  <c r="CL5" i="9"/>
  <c r="CK6" i="9"/>
  <c r="J48" i="6"/>
  <c r="I49" i="6"/>
  <c r="I18" i="6"/>
  <c r="J17" i="6"/>
  <c r="K17" i="6" l="1"/>
  <c r="CL13" i="11"/>
  <c r="CM12" i="11"/>
  <c r="J49" i="6"/>
  <c r="K48" i="6"/>
  <c r="CK7" i="9"/>
  <c r="CL6" i="9"/>
  <c r="L29" i="6"/>
  <c r="I19" i="6"/>
  <c r="J18" i="6"/>
  <c r="K18" i="6" l="1"/>
  <c r="CL14" i="11"/>
  <c r="CM13" i="11"/>
  <c r="CK8" i="9"/>
  <c r="CL7" i="9"/>
  <c r="L30" i="6"/>
  <c r="M29" i="6"/>
  <c r="I20" i="6"/>
  <c r="J19" i="6"/>
  <c r="K19" i="6" l="1"/>
  <c r="CL15" i="11"/>
  <c r="CM14" i="11"/>
  <c r="CK9" i="9"/>
  <c r="CL8" i="9"/>
  <c r="M30" i="6"/>
  <c r="L31" i="6"/>
  <c r="I21" i="6"/>
  <c r="J20" i="6"/>
  <c r="K20" i="6" l="1"/>
  <c r="CL16" i="11"/>
  <c r="CM15" i="11"/>
  <c r="CK10" i="9"/>
  <c r="CL9" i="9"/>
  <c r="M31" i="6"/>
  <c r="L32" i="6"/>
  <c r="I22" i="6"/>
  <c r="J21" i="6"/>
  <c r="K21" i="6" l="1"/>
  <c r="CL17" i="11"/>
  <c r="CM16" i="11"/>
  <c r="CK11" i="9"/>
  <c r="CL10" i="9"/>
  <c r="M32" i="6"/>
  <c r="L33" i="6"/>
  <c r="I23" i="6"/>
  <c r="J22" i="6"/>
  <c r="K22" i="6" l="1"/>
  <c r="L3" i="6" s="1"/>
  <c r="K23" i="6"/>
  <c r="CL18" i="11"/>
  <c r="CM17" i="11"/>
  <c r="CK12" i="9"/>
  <c r="CL11" i="9"/>
  <c r="M33" i="6"/>
  <c r="L34" i="6"/>
  <c r="J23" i="6"/>
  <c r="M3" i="6" l="1"/>
  <c r="L4" i="6"/>
  <c r="CL19" i="11"/>
  <c r="CM18" i="11"/>
  <c r="CK13" i="9"/>
  <c r="CL12" i="9"/>
  <c r="M34" i="6"/>
  <c r="L35" i="6"/>
  <c r="CL20" i="11" l="1"/>
  <c r="CM19" i="11"/>
  <c r="CK14" i="9"/>
  <c r="CL13" i="9"/>
  <c r="M35" i="6"/>
  <c r="L36" i="6"/>
  <c r="M4" i="6"/>
  <c r="L5" i="6"/>
  <c r="CL21" i="11" l="1"/>
  <c r="CM20" i="11"/>
  <c r="CK15" i="9"/>
  <c r="CL14" i="9"/>
  <c r="M36" i="6"/>
  <c r="L37" i="6"/>
  <c r="L6" i="6"/>
  <c r="M5" i="6"/>
  <c r="CL22" i="11" l="1"/>
  <c r="CM21" i="11"/>
  <c r="CK16" i="9"/>
  <c r="CL15" i="9"/>
  <c r="M37" i="6"/>
  <c r="L38" i="6"/>
  <c r="L7" i="6"/>
  <c r="M6" i="6"/>
  <c r="CL23" i="11" l="1"/>
  <c r="CM22" i="11"/>
  <c r="CK17" i="9"/>
  <c r="CL16" i="9"/>
  <c r="M38" i="6"/>
  <c r="L39" i="6"/>
  <c r="L8" i="6"/>
  <c r="M7" i="6"/>
  <c r="CL24" i="11" l="1"/>
  <c r="CM24" i="11" s="1"/>
  <c r="CM23" i="11"/>
  <c r="CK18" i="9"/>
  <c r="CL17" i="9"/>
  <c r="M39" i="6"/>
  <c r="L40" i="6"/>
  <c r="L9" i="6"/>
  <c r="M9" i="6" s="1"/>
  <c r="M8" i="6"/>
  <c r="CK19" i="9" l="1"/>
  <c r="CL18" i="9"/>
  <c r="M40" i="6"/>
  <c r="L41" i="6"/>
  <c r="L10" i="6"/>
  <c r="CK20" i="9" l="1"/>
  <c r="CL19" i="9"/>
  <c r="M41" i="6"/>
  <c r="L42" i="6"/>
  <c r="L11" i="6"/>
  <c r="M11" i="6" s="1"/>
  <c r="M10" i="6"/>
  <c r="CK21" i="9" l="1"/>
  <c r="CL20" i="9"/>
  <c r="M42" i="6"/>
  <c r="L43" i="6"/>
  <c r="L12" i="6"/>
  <c r="CK22" i="9" l="1"/>
  <c r="CL21" i="9"/>
  <c r="M43" i="6"/>
  <c r="L44" i="6"/>
  <c r="L13" i="6"/>
  <c r="M13" i="6" s="1"/>
  <c r="M12" i="6"/>
  <c r="CK23" i="9" l="1"/>
  <c r="CL22" i="9"/>
  <c r="M44" i="6"/>
  <c r="L45" i="6"/>
  <c r="L14" i="6"/>
  <c r="CK24" i="9" l="1"/>
  <c r="CL24" i="9" s="1"/>
  <c r="CL23" i="9"/>
  <c r="M45" i="6"/>
  <c r="L46" i="6"/>
  <c r="L15" i="6"/>
  <c r="M14" i="6"/>
  <c r="M46" i="6" l="1"/>
  <c r="L47" i="6"/>
  <c r="L16" i="6"/>
  <c r="M15" i="6"/>
  <c r="M47" i="6" l="1"/>
  <c r="L48" i="6"/>
  <c r="L17" i="6"/>
  <c r="M16" i="6"/>
  <c r="M48" i="6" l="1"/>
  <c r="L49" i="6"/>
  <c r="M49" i="6" s="1"/>
  <c r="L18" i="6"/>
  <c r="M17" i="6"/>
  <c r="L19" i="6" l="1"/>
  <c r="M18" i="6"/>
  <c r="L20" i="6" l="1"/>
  <c r="M19" i="6"/>
  <c r="L21" i="6" l="1"/>
  <c r="M20" i="6"/>
  <c r="L22" i="6" l="1"/>
  <c r="M21" i="6"/>
  <c r="L23" i="6" l="1"/>
  <c r="M23" i="6" s="1"/>
  <c r="M22" i="6"/>
</calcChain>
</file>

<file path=xl/sharedStrings.xml><?xml version="1.0" encoding="utf-8"?>
<sst xmlns="http://schemas.openxmlformats.org/spreadsheetml/2006/main" count="693" uniqueCount="144">
  <si>
    <t>Uomini</t>
  </si>
  <si>
    <t>Donne</t>
  </si>
  <si>
    <t>1-4</t>
  </si>
  <si>
    <t>5-9</t>
  </si>
  <si>
    <t>15-19</t>
  </si>
  <si>
    <t>10-14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</si>
  <si>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</si>
  <si>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</si>
  <si>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</si>
  <si>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</si>
  <si>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</si>
  <si>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</si>
  <si>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</si>
  <si>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</si>
  <si>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</si>
  <si>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</si>
  <si>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</si>
  <si>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</si>
  <si>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</si>
  <si>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</si>
  <si>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</si>
  <si>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&gt;94</t>
  </si>
  <si>
    <t>Tot</t>
  </si>
  <si>
    <t>TOT</t>
  </si>
  <si>
    <t>tumori</t>
  </si>
  <si>
    <t>malattie del sangue e degli organi ematopoietici ed alcuni disturbi del sistema immunitario</t>
  </si>
  <si>
    <t>malattie endocrine, nutrizionali e metaboliche</t>
  </si>
  <si>
    <t>disturbi psichici e comportamentali</t>
  </si>
  <si>
    <t>malattie del sistema nervoso e degli organi di senso</t>
  </si>
  <si>
    <t>malattie del sistema circolatorio</t>
  </si>
  <si>
    <t>malattie del sistema respiratorio</t>
  </si>
  <si>
    <t>malattie dell'apparato digerente</t>
  </si>
  <si>
    <t>malattie della cute e del tessuto sottocutaneo</t>
  </si>
  <si>
    <t>malattie del sistema osteomuscolare e del tessuto connettivo</t>
  </si>
  <si>
    <t>malattie dell'apparato genitourinario</t>
  </si>
  <si>
    <t>complicazioni della gravidanza, del parto e del puerperio</t>
  </si>
  <si>
    <t>alcune condizioni morbose che hanno origine nel periodo perinatale</t>
  </si>
  <si>
    <t>malformazioni congenite ed anomalie cromosomiche</t>
  </si>
  <si>
    <t>sintomi, segni, risultati anomali e cause mal definite</t>
  </si>
  <si>
    <t>cause esterne di traumatismo e avvelenamento</t>
  </si>
  <si>
    <t>Malattie infettive e parassitarie - COVID ESCLUSO</t>
  </si>
  <si>
    <t>COVID-19 - Virus identificato</t>
  </si>
  <si>
    <t>UOMINI</t>
  </si>
  <si>
    <t>DONNE</t>
  </si>
  <si>
    <t>01 Gennaio 2021</t>
  </si>
  <si>
    <t>01 Gennaio 2020</t>
  </si>
  <si>
    <t>totale</t>
  </si>
  <si>
    <r>
      <rPr>
        <b/>
        <sz val="9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D</t>
    </r>
    <r>
      <rPr>
        <b/>
        <sz val="9"/>
        <color theme="1"/>
        <rFont val="Calibri"/>
        <family val="2"/>
        <scheme val="minor"/>
      </rPr>
      <t>x</t>
    </r>
  </si>
  <si>
    <r>
      <rPr>
        <b/>
        <sz val="9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m</t>
    </r>
    <r>
      <rPr>
        <b/>
        <sz val="9"/>
        <color theme="1"/>
        <rFont val="Calibri"/>
        <family val="2"/>
        <scheme val="minor"/>
      </rPr>
      <t>x</t>
    </r>
  </si>
  <si>
    <r>
      <rPr>
        <b/>
        <sz val="9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q</t>
    </r>
    <r>
      <rPr>
        <b/>
        <sz val="9"/>
        <color theme="1"/>
        <rFont val="Calibri"/>
        <family val="2"/>
        <scheme val="minor"/>
      </rPr>
      <t>x</t>
    </r>
  </si>
  <si>
    <r>
      <rPr>
        <b/>
        <sz val="9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p</t>
    </r>
    <r>
      <rPr>
        <b/>
        <sz val="9"/>
        <color theme="1"/>
        <rFont val="Calibri"/>
        <family val="2"/>
        <scheme val="minor"/>
      </rPr>
      <t>x</t>
    </r>
  </si>
  <si>
    <r>
      <t>l</t>
    </r>
    <r>
      <rPr>
        <b/>
        <sz val="9"/>
        <color theme="1"/>
        <rFont val="Calibri"/>
        <family val="2"/>
        <scheme val="minor"/>
      </rPr>
      <t>x</t>
    </r>
  </si>
  <si>
    <r>
      <rPr>
        <b/>
        <sz val="9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d</t>
    </r>
    <r>
      <rPr>
        <b/>
        <sz val="9"/>
        <color theme="1"/>
        <rFont val="Calibri"/>
        <family val="2"/>
        <scheme val="minor"/>
      </rPr>
      <t>x</t>
    </r>
  </si>
  <si>
    <r>
      <rPr>
        <b/>
        <sz val="9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L</t>
    </r>
    <r>
      <rPr>
        <b/>
        <sz val="9"/>
        <color theme="1"/>
        <rFont val="Calibri"/>
        <family val="2"/>
        <scheme val="minor"/>
      </rPr>
      <t>x</t>
    </r>
  </si>
  <si>
    <r>
      <rPr>
        <b/>
        <sz val="9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T</t>
    </r>
    <r>
      <rPr>
        <b/>
        <sz val="9"/>
        <color theme="1"/>
        <rFont val="Calibri"/>
        <family val="2"/>
        <scheme val="minor"/>
      </rPr>
      <t>x</t>
    </r>
  </si>
  <si>
    <t>POPOLAZIONE MASCHILE</t>
  </si>
  <si>
    <t>POPOLAZIONE FEMMINILE</t>
  </si>
  <si>
    <t>DIRETTO</t>
  </si>
  <si>
    <t>INDIRETTO</t>
  </si>
  <si>
    <t>TOTALE</t>
  </si>
  <si>
    <t>DECOMPOSIZIONE ARRIAGA</t>
  </si>
  <si>
    <t>%</t>
  </si>
  <si>
    <t>popolazione 2020</t>
  </si>
  <si>
    <t>popolazione 2021</t>
  </si>
  <si>
    <t>morti 2020</t>
  </si>
  <si>
    <t>popolazione a metà anno</t>
  </si>
  <si>
    <t>classi età</t>
  </si>
  <si>
    <t>per le prime due classi di età 0-1 e 1-4 sono state utilizzate le equazioni di Coale-Demeny, per le restanti classi di età si assume le morti avvengano in media a metà dell'intervallo</t>
  </si>
  <si>
    <t>TAVOLA MORTALITA' - POPOLAZIONE FEMMINILE</t>
  </si>
  <si>
    <t>TAVOLA MORTALITA' - POPOLAZIONE MASCHILE</t>
  </si>
  <si>
    <t>Classi età</t>
  </si>
  <si>
    <t>MORTI PER CLASSE DI ETA' E PER CAUSA</t>
  </si>
  <si>
    <t>TASSI DI MORTALITA' (PER MILLE) SPECIFICI PER ETA' E PER CAUSA DI MORTE</t>
  </si>
  <si>
    <t>COVID-19 - Virus non identificato - Sospetto</t>
  </si>
  <si>
    <t>POPOLAZIONE MASCHILE:</t>
  </si>
  <si>
    <t>POPOLAZIONE FEMMINILE:</t>
  </si>
  <si>
    <r>
      <rPr>
        <b/>
        <sz val="9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a</t>
    </r>
    <r>
      <rPr>
        <b/>
        <sz val="9"/>
        <color theme="1"/>
        <rFont val="Calibri"/>
        <family val="2"/>
        <scheme val="minor"/>
      </rPr>
      <t>x</t>
    </r>
  </si>
  <si>
    <r>
      <rPr>
        <b/>
        <sz val="11"/>
        <color theme="1"/>
        <rFont val="Calibri"/>
        <family val="2"/>
        <scheme val="minor"/>
      </rPr>
      <t>l</t>
    </r>
    <r>
      <rPr>
        <b/>
        <sz val="9"/>
        <color theme="1"/>
        <rFont val="Calibri"/>
        <family val="2"/>
        <scheme val="minor"/>
      </rPr>
      <t>x</t>
    </r>
  </si>
  <si>
    <t>MALATTIE DEL SISTEMA CIRCOLATORIO</t>
  </si>
  <si>
    <t>TUMORI</t>
  </si>
  <si>
    <t>COVID-19 - VIRUS INDENTIFICATO</t>
  </si>
  <si>
    <t>TAVOLE MORTALITA' A DECREMENTO SINGOLO</t>
  </si>
  <si>
    <t>TAVOLA DI MORTALITA' - POPOLAZIONE FEMMINILE</t>
  </si>
  <si>
    <r>
      <t>l</t>
    </r>
    <r>
      <rPr>
        <b/>
        <sz val="9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-i</t>
    </r>
  </si>
  <si>
    <r>
      <rPr>
        <b/>
        <sz val="9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R</t>
    </r>
    <r>
      <rPr>
        <b/>
        <sz val="9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-i</t>
    </r>
  </si>
  <si>
    <r>
      <rPr>
        <b/>
        <sz val="9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p</t>
    </r>
    <r>
      <rPr>
        <b/>
        <sz val="9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-i</t>
    </r>
  </si>
  <si>
    <r>
      <rPr>
        <b/>
        <sz val="9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m</t>
    </r>
    <r>
      <rPr>
        <b/>
        <sz val="9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-i</t>
    </r>
  </si>
  <si>
    <r>
      <rPr>
        <b/>
        <sz val="9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d</t>
    </r>
    <r>
      <rPr>
        <b/>
        <sz val="9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-i</t>
    </r>
  </si>
  <si>
    <r>
      <rPr>
        <b/>
        <sz val="9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L</t>
    </r>
    <r>
      <rPr>
        <b/>
        <sz val="9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-i</t>
    </r>
  </si>
  <si>
    <r>
      <rPr>
        <b/>
        <sz val="9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T</t>
    </r>
    <r>
      <rPr>
        <b/>
        <sz val="9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-i</t>
    </r>
  </si>
  <si>
    <t>nDx - COVID-19 - Virus identificato</t>
  </si>
  <si>
    <t>TAVOLA MORTALITA' - ELIMINANDO LA CAUSA DI MORTE COVID-19 (VIRUS IDENTIFICATO)**</t>
  </si>
  <si>
    <t>**si è scelto di escudere come causa di morte solo quella relativa ai casi di COVID-19 identificati, evitando dunque i casi sospetti</t>
  </si>
  <si>
    <t>che avrebbero potuto distorcere i risultati</t>
  </si>
  <si>
    <r>
      <rPr>
        <b/>
        <sz val="9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N</t>
    </r>
    <r>
      <rPr>
        <b/>
        <sz val="9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2021</t>
    </r>
  </si>
  <si>
    <r>
      <rPr>
        <b/>
        <sz val="9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N</t>
    </r>
    <r>
      <rPr>
        <b/>
        <sz val="9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2020</t>
    </r>
  </si>
  <si>
    <r>
      <t>e</t>
    </r>
    <r>
      <rPr>
        <b/>
        <sz val="9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F</t>
    </r>
    <r>
      <rPr>
        <b/>
        <sz val="11"/>
        <color theme="1"/>
        <rFont val="Calibri"/>
        <family val="2"/>
        <scheme val="minor"/>
      </rPr>
      <t xml:space="preserve"> - e</t>
    </r>
    <r>
      <rPr>
        <b/>
        <sz val="9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M</t>
    </r>
  </si>
  <si>
    <r>
      <t>m</t>
    </r>
    <r>
      <rPr>
        <b/>
        <sz val="9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per mille</t>
    </r>
  </si>
  <si>
    <r>
      <rPr>
        <b/>
        <sz val="9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d</t>
    </r>
    <r>
      <rPr>
        <b/>
        <sz val="9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- cumulato</t>
    </r>
  </si>
  <si>
    <r>
      <rPr>
        <b/>
        <sz val="9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a</t>
    </r>
    <r>
      <rPr>
        <b/>
        <sz val="9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>**</t>
    </r>
  </si>
  <si>
    <r>
      <t>** calcolo del numero medio di anni-persona vissuti nell'intervallo [x, x+n) da coloro che muoiono in quell'intervallo (</t>
    </r>
    <r>
      <rPr>
        <sz val="9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a</t>
    </r>
    <r>
      <rPr>
        <sz val="9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):</t>
    </r>
  </si>
  <si>
    <t>donne</t>
  </si>
  <si>
    <t>uomini</t>
  </si>
  <si>
    <t>pop. totale 2020</t>
  </si>
  <si>
    <t>% pop. 2020</t>
  </si>
  <si>
    <t>sex ratio</t>
  </si>
  <si>
    <t>età media</t>
  </si>
  <si>
    <t>valore centrale</t>
  </si>
  <si>
    <t>indice vecchiaia</t>
  </si>
  <si>
    <t>INDICATORI</t>
  </si>
  <si>
    <t>pop. 2020</t>
  </si>
  <si>
    <t>indice dipendenza strutturale</t>
  </si>
  <si>
    <t>indice dipendenza anziani</t>
  </si>
  <si>
    <t>indice dipendenza giovani</t>
  </si>
  <si>
    <r>
      <rPr>
        <b/>
        <sz val="8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e</t>
    </r>
    <r>
      <rPr>
        <b/>
        <sz val="9"/>
        <color theme="1"/>
        <rFont val="Calibri"/>
        <family val="2"/>
        <scheme val="minor"/>
      </rPr>
      <t>x</t>
    </r>
  </si>
  <si>
    <r>
      <rPr>
        <b/>
        <sz val="8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e</t>
    </r>
    <r>
      <rPr>
        <b/>
        <sz val="9"/>
        <color theme="1"/>
        <rFont val="Calibri"/>
        <family val="2"/>
        <scheme val="minor"/>
      </rPr>
      <t>x</t>
    </r>
    <r>
      <rPr>
        <b/>
        <vertAlign val="superscript"/>
        <sz val="11"/>
        <color theme="1"/>
        <rFont val="Calibri"/>
        <family val="2"/>
        <scheme val="minor"/>
      </rPr>
      <t>-i</t>
    </r>
  </si>
  <si>
    <t>ratio</t>
  </si>
  <si>
    <t xml:space="preserve">Life time of probabilty of dyinf for tumors </t>
  </si>
  <si>
    <t>perdita della speranza di vita in anni</t>
  </si>
  <si>
    <t>perdita della speranza di vita in proprzione alla speranza di vita totale</t>
  </si>
  <si>
    <t xml:space="preserve">Life time of probabilty of dying for tumors </t>
  </si>
  <si>
    <t>Life time of probabilty of dying for CVD</t>
  </si>
  <si>
    <t>Life time of probabilty of dying for COVID</t>
  </si>
  <si>
    <t>TABELLA RIASSUNTIVA</t>
  </si>
  <si>
    <t>Più della metà delle differenze dovute all'età 60-85</t>
  </si>
  <si>
    <t>WOMEN</t>
  </si>
  <si>
    <t>MEN</t>
  </si>
  <si>
    <t xml:space="preserve"> CVD</t>
  </si>
  <si>
    <t xml:space="preserve"> tumors </t>
  </si>
  <si>
    <t xml:space="preserve"> COVID</t>
  </si>
  <si>
    <t>Life time of probabilty of dying for:</t>
  </si>
  <si>
    <t>LOST OF LE IN YEARS FOR COVID</t>
  </si>
  <si>
    <t>LOST OF LE IN PERCENTAGE FOR COVID</t>
  </si>
  <si>
    <t>65-80</t>
  </si>
  <si>
    <t>DIFFERENCES IN LE</t>
  </si>
  <si>
    <t>IN YEARS</t>
  </si>
  <si>
    <t>65-84</t>
  </si>
  <si>
    <t>TOTAL</t>
  </si>
  <si>
    <t>IN %</t>
  </si>
  <si>
    <t>AGE</t>
  </si>
  <si>
    <t>cum inversa</t>
  </si>
  <si>
    <t>Age classes responsible of explaining the gap</t>
  </si>
  <si>
    <t>65+</t>
  </si>
  <si>
    <t>60+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</si>
</sst>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€_-;\-* #,##0.00\ _€_-;_-* &quot;-&quot;??\ _€_-;_-@_-"/>
    <numFmt numFmtId="164" formatCode="0.000000"/>
    <numFmt numFmtId="165" formatCode="0.00000"/>
    <numFmt numFmtId="166" formatCode="0.000"/>
    <numFmt numFmtId="167" formatCode="0.0"/>
    <numFmt numFmtId="168" formatCode="#,##0.000"/>
    <numFmt numFmtId="169" formatCode="_-* #,##0\ _€_-;\-* #,##0\ _€_-;_-* &quot;-&quot;??\ _€_-;_-@_-"/>
    <numFmt numFmtId="170" formatCode="0.00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7FF8F"/>
        <bgColor indexed="64"/>
      </patternFill>
    </fill>
    <fill>
      <patternFill patternType="solid">
        <fgColor rgb="FFFDFFE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3" fontId="0" fillId="0" borderId="0" xfId="0" applyNumberFormat="1"/>
    <xf numFmtId="3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0" fillId="0" borderId="0" xfId="0" applyNumberFormat="1"/>
    <xf numFmtId="0" fontId="1" fillId="0" borderId="1" xfId="0" applyFont="1" applyBorder="1"/>
    <xf numFmtId="15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1" fillId="0" borderId="1" xfId="0" applyNumberFormat="1" applyFont="1" applyBorder="1"/>
    <xf numFmtId="16" fontId="2" fillId="0" borderId="1" xfId="0" quotePrefix="1" applyNumberFormat="1" applyFont="1" applyBorder="1" applyAlignment="1">
      <alignment vertical="center" wrapText="1"/>
    </xf>
    <xf numFmtId="0" fontId="2" fillId="0" borderId="1" xfId="0" quotePrefix="1" applyFont="1" applyBorder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/>
    <xf numFmtId="164" fontId="0" fillId="3" borderId="3" xfId="0" applyNumberFormat="1" applyFill="1" applyBorder="1"/>
    <xf numFmtId="16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" fontId="0" fillId="0" borderId="1" xfId="0" applyNumberFormat="1" applyBorder="1"/>
    <xf numFmtId="0" fontId="2" fillId="0" borderId="4" xfId="0" applyFont="1" applyBorder="1" applyAlignment="1">
      <alignment horizontal="center" vertical="center" wrapText="1"/>
    </xf>
    <xf numFmtId="16" fontId="2" fillId="0" borderId="4" xfId="0" quotePrefix="1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6" fontId="0" fillId="3" borderId="1" xfId="0" applyNumberFormat="1" applyFill="1" applyBorder="1"/>
    <xf numFmtId="165" fontId="0" fillId="3" borderId="1" xfId="0" applyNumberFormat="1" applyFill="1" applyBorder="1"/>
    <xf numFmtId="0" fontId="2" fillId="6" borderId="1" xfId="0" applyFont="1" applyFill="1" applyBorder="1" applyAlignment="1">
      <alignment horizontal="center" vertical="center" wrapText="1"/>
    </xf>
    <xf numFmtId="49" fontId="4" fillId="6" borderId="3" xfId="0" applyNumberFormat="1" applyFont="1" applyFill="1" applyBorder="1" applyAlignment="1">
      <alignment horizontal="center" vertical="center"/>
    </xf>
    <xf numFmtId="49" fontId="4" fillId="7" borderId="3" xfId="0" applyNumberFormat="1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49" fontId="2" fillId="6" borderId="4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vertical="center"/>
    </xf>
    <xf numFmtId="0" fontId="0" fillId="0" borderId="2" xfId="0" applyBorder="1"/>
    <xf numFmtId="0" fontId="0" fillId="0" borderId="13" xfId="0" applyBorder="1"/>
    <xf numFmtId="0" fontId="4" fillId="7" borderId="1" xfId="0" applyFont="1" applyFill="1" applyBorder="1" applyAlignment="1">
      <alignment horizontal="center" vertical="center" wrapText="1"/>
    </xf>
    <xf numFmtId="166" fontId="0" fillId="0" borderId="2" xfId="0" applyNumberFormat="1" applyBorder="1"/>
    <xf numFmtId="0" fontId="0" fillId="0" borderId="0" xfId="0" applyAlignment="1">
      <alignment vertical="center"/>
    </xf>
    <xf numFmtId="49" fontId="4" fillId="6" borderId="3" xfId="0" quotePrefix="1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" fontId="4" fillId="0" borderId="1" xfId="0" quotePrefix="1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49" fontId="4" fillId="7" borderId="3" xfId="0" quotePrefix="1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/>
    <xf numFmtId="2" fontId="0" fillId="0" borderId="1" xfId="0" applyNumberFormat="1" applyBorder="1"/>
    <xf numFmtId="0" fontId="7" fillId="0" borderId="0" xfId="0" applyFont="1"/>
    <xf numFmtId="166" fontId="0" fillId="0" borderId="0" xfId="0" applyNumberFormat="1"/>
    <xf numFmtId="0" fontId="4" fillId="0" borderId="0" xfId="0" applyFont="1" applyAlignment="1">
      <alignment horizontal="center" vertical="center" wrapText="1"/>
    </xf>
    <xf numFmtId="1" fontId="0" fillId="0" borderId="0" xfId="0" applyNumberFormat="1"/>
    <xf numFmtId="165" fontId="0" fillId="0" borderId="0" xfId="0" applyNumberFormat="1"/>
    <xf numFmtId="167" fontId="0" fillId="0" borderId="2" xfId="0" applyNumberFormat="1" applyBorder="1"/>
    <xf numFmtId="3" fontId="0" fillId="0" borderId="0" xfId="0" applyNumberFormat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5" fontId="0" fillId="0" borderId="1" xfId="0" applyNumberFormat="1" applyBorder="1" applyAlignment="1">
      <alignment horizontal="right" vertical="center" wrapText="1"/>
    </xf>
    <xf numFmtId="168" fontId="0" fillId="0" borderId="1" xfId="0" applyNumberFormat="1" applyBorder="1" applyAlignment="1">
      <alignment horizontal="right"/>
    </xf>
    <xf numFmtId="0" fontId="4" fillId="10" borderId="1" xfId="0" applyFont="1" applyFill="1" applyBorder="1" applyAlignment="1">
      <alignment horizontal="center" vertical="center"/>
    </xf>
    <xf numFmtId="165" fontId="0" fillId="11" borderId="1" xfId="0" applyNumberFormat="1" applyFill="1" applyBorder="1"/>
    <xf numFmtId="0" fontId="0" fillId="0" borderId="1" xfId="0" applyBorder="1" applyAlignment="1">
      <alignment horizontal="left" vertical="center"/>
    </xf>
    <xf numFmtId="0" fontId="4" fillId="13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0" borderId="1" xfId="0" applyFont="1" applyBorder="1"/>
    <xf numFmtId="165" fontId="0" fillId="14" borderId="1" xfId="0" applyNumberFormat="1" applyFill="1" applyBorder="1"/>
    <xf numFmtId="1" fontId="0" fillId="0" borderId="1" xfId="0" applyNumberFormat="1" applyBorder="1" applyAlignment="1">
      <alignment horizontal="right" vertical="center" wrapText="1"/>
    </xf>
    <xf numFmtId="1" fontId="0" fillId="0" borderId="3" xfId="0" applyNumberFormat="1" applyBorder="1" applyAlignment="1">
      <alignment horizontal="right" vertical="center" wrapText="1"/>
    </xf>
    <xf numFmtId="2" fontId="0" fillId="0" borderId="1" xfId="1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10" fontId="0" fillId="0" borderId="0" xfId="0" applyNumberFormat="1"/>
    <xf numFmtId="9" fontId="0" fillId="0" borderId="0" xfId="1" applyFont="1"/>
    <xf numFmtId="0" fontId="8" fillId="11" borderId="0" xfId="0" applyFont="1" applyFill="1" applyBorder="1" applyAlignment="1">
      <alignment horizontal="center" vertical="center"/>
    </xf>
    <xf numFmtId="169" fontId="0" fillId="0" borderId="1" xfId="2" applyNumberFormat="1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right"/>
    </xf>
    <xf numFmtId="166" fontId="11" fillId="14" borderId="0" xfId="0" applyNumberFormat="1" applyFont="1" applyFill="1"/>
    <xf numFmtId="49" fontId="4" fillId="8" borderId="0" xfId="0" applyNumberFormat="1" applyFont="1" applyFill="1" applyAlignment="1">
      <alignment horizontal="center" wrapText="1"/>
    </xf>
    <xf numFmtId="166" fontId="4" fillId="0" borderId="0" xfId="0" applyNumberFormat="1" applyFont="1"/>
    <xf numFmtId="9" fontId="4" fillId="0" borderId="0" xfId="1" applyFont="1"/>
    <xf numFmtId="0" fontId="4" fillId="14" borderId="0" xfId="0" applyFont="1" applyFill="1"/>
    <xf numFmtId="170" fontId="12" fillId="14" borderId="0" xfId="0" applyNumberFormat="1" applyFont="1" applyFill="1"/>
    <xf numFmtId="0" fontId="4" fillId="14" borderId="0" xfId="0" applyFont="1" applyFill="1" applyAlignment="1">
      <alignment wrapText="1"/>
    </xf>
    <xf numFmtId="0" fontId="4" fillId="15" borderId="0" xfId="0" applyFont="1" applyFill="1" applyAlignment="1">
      <alignment wrapText="1"/>
    </xf>
    <xf numFmtId="0" fontId="4" fillId="15" borderId="0" xfId="0" applyFont="1" applyFill="1"/>
    <xf numFmtId="2" fontId="12" fillId="0" borderId="0" xfId="0" applyNumberFormat="1" applyFont="1"/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6" fontId="0" fillId="0" borderId="1" xfId="0" applyNumberFormat="1" applyFill="1" applyBorder="1"/>
    <xf numFmtId="166" fontId="0" fillId="0" borderId="1" xfId="0" applyNumberForma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2" fontId="12" fillId="0" borderId="0" xfId="0" applyNumberFormat="1" applyFont="1" applyFill="1" applyBorder="1"/>
    <xf numFmtId="0" fontId="0" fillId="0" borderId="0" xfId="0" applyFill="1" applyBorder="1"/>
    <xf numFmtId="0" fontId="13" fillId="0" borderId="0" xfId="0" applyFont="1"/>
    <xf numFmtId="0" fontId="8" fillId="9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2" fontId="13" fillId="0" borderId="0" xfId="0" applyNumberFormat="1" applyFont="1"/>
    <xf numFmtId="0" fontId="8" fillId="5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16" borderId="1" xfId="0" applyFont="1" applyFill="1" applyBorder="1" applyAlignment="1">
      <alignment horizontal="center"/>
    </xf>
    <xf numFmtId="2" fontId="13" fillId="0" borderId="1" xfId="0" applyNumberFormat="1" applyFont="1" applyBorder="1"/>
    <xf numFmtId="9" fontId="13" fillId="0" borderId="0" xfId="0" applyNumberFormat="1" applyFont="1"/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0" fontId="13" fillId="17" borderId="1" xfId="0" applyFont="1" applyFill="1" applyBorder="1" applyAlignment="1">
      <alignment horizontal="right"/>
    </xf>
    <xf numFmtId="9" fontId="13" fillId="0" borderId="1" xfId="1" applyFont="1" applyBorder="1"/>
    <xf numFmtId="2" fontId="8" fillId="0" borderId="1" xfId="0" applyNumberFormat="1" applyFont="1" applyBorder="1"/>
    <xf numFmtId="49" fontId="2" fillId="10" borderId="4" xfId="0" applyNumberFormat="1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10" fontId="0" fillId="10" borderId="1" xfId="1" applyNumberFormat="1" applyFont="1" applyFill="1" applyBorder="1"/>
    <xf numFmtId="10" fontId="0" fillId="0" borderId="1" xfId="0" applyNumberFormat="1" applyBorder="1"/>
    <xf numFmtId="0" fontId="13" fillId="0" borderId="1" xfId="0" applyFont="1" applyFill="1" applyBorder="1" applyAlignment="1">
      <alignment horizontal="right"/>
    </xf>
    <xf numFmtId="170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/>
    </xf>
  </cellXfs>
  <cellStyles count="3">
    <cellStyle name="Migliaia" xfId="2" builtinId="3"/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FDFFE1"/>
      <color rgb="FFF7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>
                <a:solidFill>
                  <a:schemeClr val="tx1"/>
                </a:solidFill>
              </a:rPr>
              <a:t>Piramide per età per la popolazione spagnola nel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donne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popolazione!$A$3:$A$23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popolazione!$G$3:$G$23</c:f>
              <c:numCache>
                <c:formatCode>0.00</c:formatCode>
                <c:ptCount val="21"/>
                <c:pt idx="0">
                  <c:v>0.36942181222666154</c:v>
                </c:pt>
                <c:pt idx="1">
                  <c:v>1.6947013144485226</c:v>
                </c:pt>
                <c:pt idx="2">
                  <c:v>2.3848112790294178</c:v>
                </c:pt>
                <c:pt idx="3">
                  <c:v>2.5915642249625765</c:v>
                </c:pt>
                <c:pt idx="4">
                  <c:v>2.4490824393204211</c:v>
                </c:pt>
                <c:pt idx="5">
                  <c:v>2.426111230707932</c:v>
                </c:pt>
                <c:pt idx="6">
                  <c:v>2.6568712385410356</c:v>
                </c:pt>
                <c:pt idx="7">
                  <c:v>2.9403061273471103</c:v>
                </c:pt>
                <c:pt idx="8">
                  <c:v>3.5262660579906226</c:v>
                </c:pt>
                <c:pt idx="9">
                  <c:v>4.1457482747167962</c:v>
                </c:pt>
                <c:pt idx="10">
                  <c:v>4.061369692286628</c:v>
                </c:pt>
                <c:pt idx="11">
                  <c:v>3.8826713519418443</c:v>
                </c:pt>
                <c:pt idx="12">
                  <c:v>3.612799592873682</c:v>
                </c:pt>
                <c:pt idx="13">
                  <c:v>3.1735804630869953</c:v>
                </c:pt>
                <c:pt idx="14">
                  <c:v>2.686481025501263</c:v>
                </c:pt>
                <c:pt idx="15">
                  <c:v>2.5262877501666026</c:v>
                </c:pt>
                <c:pt idx="16">
                  <c:v>2.0665636834585657</c:v>
                </c:pt>
                <c:pt idx="17">
                  <c:v>1.6114545077116749</c:v>
                </c:pt>
                <c:pt idx="18">
                  <c:v>1.3409151299213629</c:v>
                </c:pt>
                <c:pt idx="19">
                  <c:v>0.63878858630801483</c:v>
                </c:pt>
                <c:pt idx="20">
                  <c:v>0.20082544261878901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6-4F1B-84F0-3A32A6F7BC3E}"/>
            </c:ext>
          </c:extLst>
        </c:ser>
        <c:ser>
          <c:idx val="1"/>
          <c:order val="1"/>
          <c:tx>
            <c:v>uomini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popolazione!$A$3:$A$23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popolazione!$H$3:$H$23</c:f>
              <c:numCache>
                <c:formatCode>0.00</c:formatCode>
                <c:ptCount val="21"/>
                <c:pt idx="0">
                  <c:v>-0.3910284786663355</c:v>
                </c:pt>
                <c:pt idx="1">
                  <c:v>-1.7953748461714127</c:v>
                </c:pt>
                <c:pt idx="2">
                  <c:v>-2.5382391787130221</c:v>
                </c:pt>
                <c:pt idx="3">
                  <c:v>-2.7642793639302088</c:v>
                </c:pt>
                <c:pt idx="4">
                  <c:v>-2.6214025584578744</c:v>
                </c:pt>
                <c:pt idx="5">
                  <c:v>-2.543369686598635</c:v>
                </c:pt>
                <c:pt idx="6">
                  <c:v>-2.7199268874673819</c:v>
                </c:pt>
                <c:pt idx="7">
                  <c:v>-2.9293375630433012</c:v>
                </c:pt>
                <c:pt idx="8">
                  <c:v>-3.4986269991000594</c:v>
                </c:pt>
                <c:pt idx="9">
                  <c:v>-4.2099868005645886</c:v>
                </c:pt>
                <c:pt idx="10">
                  <c:v>-4.1330424724317032</c:v>
                </c:pt>
                <c:pt idx="11">
                  <c:v>-3.8644680705989773</c:v>
                </c:pt>
                <c:pt idx="12">
                  <c:v>-3.5033912438094839</c:v>
                </c:pt>
                <c:pt idx="13">
                  <c:v>-2.9930881513401562</c:v>
                </c:pt>
                <c:pt idx="14">
                  <c:v>-2.4511167332203412</c:v>
                </c:pt>
                <c:pt idx="15">
                  <c:v>-2.1730600089416114</c:v>
                </c:pt>
                <c:pt idx="16">
                  <c:v>-1.6521828074534517</c:v>
                </c:pt>
                <c:pt idx="17">
                  <c:v>-1.1005823140014219</c:v>
                </c:pt>
                <c:pt idx="18">
                  <c:v>-0.77542892371633454</c:v>
                </c:pt>
                <c:pt idx="19">
                  <c:v>-0.28818899086837685</c:v>
                </c:pt>
                <c:pt idx="20">
                  <c:v>-6.7256695738798014E-2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6-4F1B-84F0-3A32A6F7B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861114352"/>
        <c:axId val="861113104"/>
      </c:barChart>
      <c:catAx>
        <c:axId val="861114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>
                    <a:solidFill>
                      <a:schemeClr val="tx1"/>
                    </a:solidFill>
                  </a:rPr>
                  <a:t>classi</a:t>
                </a:r>
                <a:r>
                  <a:rPr lang="it-IT" baseline="0">
                    <a:solidFill>
                      <a:schemeClr val="tx1"/>
                    </a:solidFill>
                  </a:rPr>
                  <a:t> di età</a:t>
                </a:r>
                <a:endParaRPr lang="it-IT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61113104"/>
        <c:crosses val="autoZero"/>
        <c:auto val="1"/>
        <c:lblAlgn val="ctr"/>
        <c:lblOffset val="100"/>
        <c:noMultiLvlLbl val="0"/>
      </c:catAx>
      <c:valAx>
        <c:axId val="861113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>
                    <a:solidFill>
                      <a:schemeClr val="tx1"/>
                    </a:solidFill>
                  </a:rPr>
                  <a:t>percentuale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6111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 b="1">
                <a:solidFill>
                  <a:schemeClr val="tx1"/>
                </a:solidFill>
              </a:rPr>
              <a:t>Tassi di mortalità</a:t>
            </a:r>
            <a:r>
              <a:rPr lang="it-IT" b="1" baseline="0">
                <a:solidFill>
                  <a:schemeClr val="tx1"/>
                </a:solidFill>
              </a:rPr>
              <a:t> (per mille) specifici per età e causa</a:t>
            </a:r>
            <a:endParaRPr lang="it-IT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5966481022409434E-2"/>
          <c:y val="6.2486154146566136E-2"/>
          <c:w val="0.93580086621414771"/>
          <c:h val="0.6207379644214297"/>
        </c:manualLayout>
      </c:layout>
      <c:lineChart>
        <c:grouping val="standard"/>
        <c:varyColors val="0"/>
        <c:ser>
          <c:idx val="0"/>
          <c:order val="0"/>
          <c:tx>
            <c:strRef>
              <c:f>'cause pop. maschile '!$AB$3</c:f>
              <c:strCache>
                <c:ptCount val="1"/>
                <c:pt idx="0">
                  <c:v>Malattie infettive e parassitarie - COVID ESCLUSO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'cause pop. maschile 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maschile '!$AB$4:$AB$24</c:f>
              <c:numCache>
                <c:formatCode>0.00000</c:formatCode>
                <c:ptCount val="21"/>
                <c:pt idx="0">
                  <c:v>3.8918618389047185E-2</c:v>
                </c:pt>
                <c:pt idx="1">
                  <c:v>1.2011191394329887E-3</c:v>
                </c:pt>
                <c:pt idx="2">
                  <c:v>8.3890114985189529E-4</c:v>
                </c:pt>
                <c:pt idx="3">
                  <c:v>3.0544482498275588E-3</c:v>
                </c:pt>
                <c:pt idx="4">
                  <c:v>3.9998302528582285E-3</c:v>
                </c:pt>
                <c:pt idx="5">
                  <c:v>3.2892701360054343E-3</c:v>
                </c:pt>
                <c:pt idx="6">
                  <c:v>8.5557109722532165E-3</c:v>
                </c:pt>
                <c:pt idx="7">
                  <c:v>1.8839097872227293E-2</c:v>
                </c:pt>
                <c:pt idx="8">
                  <c:v>1.972311423993061E-2</c:v>
                </c:pt>
                <c:pt idx="9">
                  <c:v>2.0292287756704972E-2</c:v>
                </c:pt>
                <c:pt idx="10">
                  <c:v>5.1795273368385054E-2</c:v>
                </c:pt>
                <c:pt idx="11">
                  <c:v>7.8325157757151917E-2</c:v>
                </c:pt>
                <c:pt idx="12">
                  <c:v>0.11235160429055588</c:v>
                </c:pt>
                <c:pt idx="13">
                  <c:v>0.10619763096434992</c:v>
                </c:pt>
                <c:pt idx="14">
                  <c:v>0.17122863007498942</c:v>
                </c:pt>
                <c:pt idx="15">
                  <c:v>0.23764258959269352</c:v>
                </c:pt>
                <c:pt idx="16">
                  <c:v>0.43980006721451503</c:v>
                </c:pt>
                <c:pt idx="17">
                  <c:v>0.79849754676640272</c:v>
                </c:pt>
                <c:pt idx="18">
                  <c:v>1.4290104128115904</c:v>
                </c:pt>
                <c:pt idx="19">
                  <c:v>2.5660051372483297</c:v>
                </c:pt>
                <c:pt idx="20">
                  <c:v>3.4398713315731757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7-4AAA-872C-82B2BC372E19}"/>
            </c:ext>
          </c:extLst>
        </c:ser>
        <c:ser>
          <c:idx val="1"/>
          <c:order val="1"/>
          <c:tx>
            <c:strRef>
              <c:f>'cause pop. maschile '!$AC$3</c:f>
              <c:strCache>
                <c:ptCount val="1"/>
                <c:pt idx="0">
                  <c:v>COVID-19 - Virus identificato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'cause pop. maschile 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maschile '!$AC$4:$AC$24</c:f>
              <c:numCache>
                <c:formatCode>0</c:formatCode>
                <c:ptCount val="21"/>
                <c:pt idx="0" formatCode="0.00000">
                  <c:v>5.5598026270067416E-3</c:v>
                </c:pt>
                <c:pt idx="1">
                  <c:v>0</c:v>
                </c:pt>
                <c:pt idx="2" formatCode="0.00000">
                  <c:v>1.6778022997037906E-3</c:v>
                </c:pt>
                <c:pt idx="3">
                  <c:v>0</c:v>
                </c:pt>
                <c:pt idx="4" formatCode="0.00000">
                  <c:v>3.9998302528582285E-3</c:v>
                </c:pt>
                <c:pt idx="5" formatCode="0.00000">
                  <c:v>3.2892701360054343E-3</c:v>
                </c:pt>
                <c:pt idx="6" formatCode="0.00000">
                  <c:v>1.9444797664211855E-2</c:v>
                </c:pt>
                <c:pt idx="7" formatCode="0.00000">
                  <c:v>1.2317871685687076E-2</c:v>
                </c:pt>
                <c:pt idx="8" formatCode="0.00000">
                  <c:v>3.5131797239876403E-2</c:v>
                </c:pt>
                <c:pt idx="9" formatCode="0.00000">
                  <c:v>5.42818697491858E-2</c:v>
                </c:pt>
                <c:pt idx="10" formatCode="0.00000">
                  <c:v>0.1183166538709188</c:v>
                </c:pt>
                <c:pt idx="11" formatCode="0.00000">
                  <c:v>0.24802966623098105</c:v>
                </c:pt>
                <c:pt idx="12" formatCode="0.00000">
                  <c:v>0.48287285248281464</c:v>
                </c:pt>
                <c:pt idx="13" formatCode="0.00000">
                  <c:v>1.0522588793591796</c:v>
                </c:pt>
                <c:pt idx="14" formatCode="0.00000">
                  <c:v>1.8784036284345855</c:v>
                </c:pt>
                <c:pt idx="15" formatCode="0.00000">
                  <c:v>3.3289441443763379</c:v>
                </c:pt>
                <c:pt idx="16" formatCode="0.00000">
                  <c:v>6.1927916978876221</c:v>
                </c:pt>
                <c:pt idx="17" formatCode="0.00000">
                  <c:v>11.393289224289266</c:v>
                </c:pt>
                <c:pt idx="18" formatCode="0.00000">
                  <c:v>19.479811791437385</c:v>
                </c:pt>
                <c:pt idx="19" formatCode="0.00000">
                  <c:v>30.690867078187065</c:v>
                </c:pt>
                <c:pt idx="20" formatCode="0.00000">
                  <c:v>42.642008578780988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7-4AAA-872C-82B2BC372E19}"/>
            </c:ext>
          </c:extLst>
        </c:ser>
        <c:ser>
          <c:idx val="2"/>
          <c:order val="2"/>
          <c:tx>
            <c:strRef>
              <c:f>'cause pop. maschile '!$AD$3</c:f>
              <c:strCache>
                <c:ptCount val="1"/>
                <c:pt idx="0">
                  <c:v>COVID-19 - Virus non identificato - Sospetto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'cause pop. maschile 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maschile '!$AD$4:$AD$24</c:f>
              <c:numCache>
                <c:formatCode>0.00000</c:formatCode>
                <c:ptCount val="21"/>
                <c:pt idx="0" formatCode="0">
                  <c:v>0</c:v>
                </c:pt>
                <c:pt idx="1">
                  <c:v>1.2011191394329887E-3</c:v>
                </c:pt>
                <c:pt idx="2" formatCode="0">
                  <c:v>0</c:v>
                </c:pt>
                <c:pt idx="3">
                  <c:v>7.636120624568897E-4</c:v>
                </c:pt>
                <c:pt idx="4" formatCode="0">
                  <c:v>0</c:v>
                </c:pt>
                <c:pt idx="5">
                  <c:v>3.2892701360054343E-3</c:v>
                </c:pt>
                <c:pt idx="6">
                  <c:v>5.4445433459793195E-3</c:v>
                </c:pt>
                <c:pt idx="7">
                  <c:v>2.1737420621800721E-3</c:v>
                </c:pt>
                <c:pt idx="8">
                  <c:v>6.1634731999783161E-3</c:v>
                </c:pt>
                <c:pt idx="9">
                  <c:v>9.1315294905172373E-3</c:v>
                </c:pt>
                <c:pt idx="10">
                  <c:v>1.8280684718253549E-2</c:v>
                </c:pt>
                <c:pt idx="11">
                  <c:v>4.6233600064985503E-2</c:v>
                </c:pt>
                <c:pt idx="12">
                  <c:v>6.4542410975425721E-2</c:v>
                </c:pt>
                <c:pt idx="13">
                  <c:v>0.11591506124866952</c:v>
                </c:pt>
                <c:pt idx="14">
                  <c:v>0.20189644441677859</c:v>
                </c:pt>
                <c:pt idx="15">
                  <c:v>0.41977031194447095</c:v>
                </c:pt>
                <c:pt idx="16">
                  <c:v>0.94061286051659287</c:v>
                </c:pt>
                <c:pt idx="17">
                  <c:v>2.1659957206822611</c:v>
                </c:pt>
                <c:pt idx="18">
                  <c:v>4.584287221252449</c:v>
                </c:pt>
                <c:pt idx="19">
                  <c:v>8.8689811363484523</c:v>
                </c:pt>
                <c:pt idx="20">
                  <c:v>16.145702376122742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37-4AAA-872C-82B2BC372E19}"/>
            </c:ext>
          </c:extLst>
        </c:ser>
        <c:ser>
          <c:idx val="3"/>
          <c:order val="3"/>
          <c:tx>
            <c:strRef>
              <c:f>'cause pop. maschile '!$AE$3</c:f>
              <c:strCache>
                <c:ptCount val="1"/>
                <c:pt idx="0">
                  <c:v>tumori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'cause pop. maschile 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maschile '!$AE$4:$AE$24</c:f>
              <c:numCache>
                <c:formatCode>0.00000</c:formatCode>
                <c:ptCount val="21"/>
                <c:pt idx="0">
                  <c:v>2.7799013135033707E-2</c:v>
                </c:pt>
                <c:pt idx="1">
                  <c:v>3.6033574182989657E-2</c:v>
                </c:pt>
                <c:pt idx="2">
                  <c:v>2.0133627596445488E-2</c:v>
                </c:pt>
                <c:pt idx="3">
                  <c:v>2.9780870435818698E-2</c:v>
                </c:pt>
                <c:pt idx="4">
                  <c:v>3.9198336478010638E-2</c:v>
                </c:pt>
                <c:pt idx="5">
                  <c:v>5.5917592312092389E-2</c:v>
                </c:pt>
                <c:pt idx="6">
                  <c:v>5.9889976805772509E-2</c:v>
                </c:pt>
                <c:pt idx="7">
                  <c:v>9.4920070048529828E-2</c:v>
                </c:pt>
                <c:pt idx="8">
                  <c:v>0.13313102111953162</c:v>
                </c:pt>
                <c:pt idx="9">
                  <c:v>0.25466821134664741</c:v>
                </c:pt>
                <c:pt idx="10">
                  <c:v>0.5555296967158162</c:v>
                </c:pt>
                <c:pt idx="11">
                  <c:v>1.256466072354312</c:v>
                </c:pt>
                <c:pt idx="12">
                  <c:v>2.5494252335293157</c:v>
                </c:pt>
                <c:pt idx="13">
                  <c:v>4.4519712745447082</c:v>
                </c:pt>
                <c:pt idx="14">
                  <c:v>6.7605492949010753</c:v>
                </c:pt>
                <c:pt idx="15">
                  <c:v>9.4628500019779107</c:v>
                </c:pt>
                <c:pt idx="16">
                  <c:v>13.056723382738435</c:v>
                </c:pt>
                <c:pt idx="17">
                  <c:v>18.428033644613702</c:v>
                </c:pt>
                <c:pt idx="18">
                  <c:v>24.781331338204051</c:v>
                </c:pt>
                <c:pt idx="19">
                  <c:v>30.59690069287938</c:v>
                </c:pt>
                <c:pt idx="20">
                  <c:v>32.911201388564976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37-4AAA-872C-82B2BC372E19}"/>
            </c:ext>
          </c:extLst>
        </c:ser>
        <c:ser>
          <c:idx val="4"/>
          <c:order val="4"/>
          <c:tx>
            <c:strRef>
              <c:f>'cause pop. maschile '!$AF$3</c:f>
              <c:strCache>
                <c:ptCount val="1"/>
                <c:pt idx="0">
                  <c:v>malattie del sangue e degli organi ematopoietici ed alcuni disturbi del sistema immunitario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'cause pop. maschile 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maschile '!$AF$4:$AF$24</c:f>
              <c:numCache>
                <c:formatCode>0</c:formatCode>
                <c:ptCount val="21"/>
                <c:pt idx="0" formatCode="0.00000">
                  <c:v>2.2239210508026967E-2</c:v>
                </c:pt>
                <c:pt idx="1">
                  <c:v>0</c:v>
                </c:pt>
                <c:pt idx="2">
                  <c:v>0</c:v>
                </c:pt>
                <c:pt idx="3" formatCode="0.00000">
                  <c:v>2.290836187370669E-3</c:v>
                </c:pt>
                <c:pt idx="4" formatCode="0.00000">
                  <c:v>7.9996605057164566E-4</c:v>
                </c:pt>
                <c:pt idx="5" formatCode="0.00000">
                  <c:v>2.4669526020040756E-3</c:v>
                </c:pt>
                <c:pt idx="6" formatCode="0.00000">
                  <c:v>1.5555838131369483E-3</c:v>
                </c:pt>
                <c:pt idx="7" formatCode="0.00000">
                  <c:v>3.6229034369667872E-3</c:v>
                </c:pt>
                <c:pt idx="8" formatCode="0.00000">
                  <c:v>4.9307785599826525E-3</c:v>
                </c:pt>
                <c:pt idx="9" formatCode="0.00000">
                  <c:v>4.5657647452586186E-3</c:v>
                </c:pt>
                <c:pt idx="10" formatCode="0.00000">
                  <c:v>3.0467807863755916E-3</c:v>
                </c:pt>
                <c:pt idx="11" formatCode="0.00000">
                  <c:v>1.1422418839584654E-2</c:v>
                </c:pt>
                <c:pt idx="12" formatCode="0.00000">
                  <c:v>1.1354683412343414E-2</c:v>
                </c:pt>
                <c:pt idx="13" formatCode="0.00000">
                  <c:v>2.4987677873964689E-2</c:v>
                </c:pt>
                <c:pt idx="14" formatCode="0.00000">
                  <c:v>4.0890419122385536E-2</c:v>
                </c:pt>
                <c:pt idx="15" formatCode="0.00000">
                  <c:v>6.7202207712687922E-2</c:v>
                </c:pt>
                <c:pt idx="16" formatCode="0.00000">
                  <c:v>0.12202545217512556</c:v>
                </c:pt>
                <c:pt idx="17" formatCode="0.00000">
                  <c:v>0.20294355701663916</c:v>
                </c:pt>
                <c:pt idx="18" formatCode="0.00000">
                  <c:v>0.52360686881646057</c:v>
                </c:pt>
                <c:pt idx="19" formatCode="0.00000">
                  <c:v>1.2793884768815615</c:v>
                </c:pt>
                <c:pt idx="20" formatCode="0.00000">
                  <c:v>2.1382983953022441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37-4AAA-872C-82B2BC372E19}"/>
            </c:ext>
          </c:extLst>
        </c:ser>
        <c:ser>
          <c:idx val="5"/>
          <c:order val="5"/>
          <c:tx>
            <c:strRef>
              <c:f>'cause pop. maschile '!$AG$3</c:f>
              <c:strCache>
                <c:ptCount val="1"/>
                <c:pt idx="0">
                  <c:v>malattie endocrine, nutrizionali e metaboliche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'cause pop. maschile 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maschile '!$AG$4:$AG$24</c:f>
              <c:numCache>
                <c:formatCode>0.00000</c:formatCode>
                <c:ptCount val="21"/>
                <c:pt idx="0">
                  <c:v>6.6717631524080889E-2</c:v>
                </c:pt>
                <c:pt idx="1">
                  <c:v>9.6089531154639092E-3</c:v>
                </c:pt>
                <c:pt idx="2">
                  <c:v>4.1945057492594768E-3</c:v>
                </c:pt>
                <c:pt idx="3">
                  <c:v>3.8180603122844482E-3</c:v>
                </c:pt>
                <c:pt idx="4">
                  <c:v>3.9998302528582285E-3</c:v>
                </c:pt>
                <c:pt idx="5">
                  <c:v>3.2892701360054343E-3</c:v>
                </c:pt>
                <c:pt idx="6">
                  <c:v>6.2223352525477933E-3</c:v>
                </c:pt>
                <c:pt idx="7">
                  <c:v>5.7966454991468597E-3</c:v>
                </c:pt>
                <c:pt idx="8">
                  <c:v>1.3559641039952296E-2</c:v>
                </c:pt>
                <c:pt idx="9">
                  <c:v>1.8263058981034475E-2</c:v>
                </c:pt>
                <c:pt idx="10">
                  <c:v>2.7928823875109591E-2</c:v>
                </c:pt>
                <c:pt idx="11">
                  <c:v>6.7446663624214143E-2</c:v>
                </c:pt>
                <c:pt idx="12">
                  <c:v>0.11593729378919064</c:v>
                </c:pt>
                <c:pt idx="13">
                  <c:v>0.20684244462337437</c:v>
                </c:pt>
                <c:pt idx="14">
                  <c:v>0.36716188836975344</c:v>
                </c:pt>
                <c:pt idx="15">
                  <c:v>0.67396996720550784</c:v>
                </c:pt>
                <c:pt idx="16">
                  <c:v>1.0956868726558149</c:v>
                </c:pt>
                <c:pt idx="17">
                  <c:v>2.0977156454243264</c:v>
                </c:pt>
                <c:pt idx="18">
                  <c:v>4.093405781737018</c:v>
                </c:pt>
                <c:pt idx="19">
                  <c:v>7.3799753383959006</c:v>
                </c:pt>
                <c:pt idx="20">
                  <c:v>10.4745631537994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37-4AAA-872C-82B2BC372E19}"/>
            </c:ext>
          </c:extLst>
        </c:ser>
        <c:ser>
          <c:idx val="6"/>
          <c:order val="6"/>
          <c:tx>
            <c:strRef>
              <c:f>'cause pop. maschile '!$AH$3</c:f>
              <c:strCache>
                <c:ptCount val="1"/>
                <c:pt idx="0">
                  <c:v>disturbi psichici e comportamentali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maschile 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maschile '!$AH$4:$AH$24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000">
                  <c:v>1.6446350680027171E-3</c:v>
                </c:pt>
                <c:pt idx="6">
                  <c:v>0</c:v>
                </c:pt>
                <c:pt idx="7" formatCode="0.00000">
                  <c:v>2.1737420621800721E-3</c:v>
                </c:pt>
                <c:pt idx="8" formatCode="0.00000">
                  <c:v>4.9307785599826525E-3</c:v>
                </c:pt>
                <c:pt idx="9" formatCode="0.00000">
                  <c:v>5.073071939176243E-3</c:v>
                </c:pt>
                <c:pt idx="10" formatCode="0.00000">
                  <c:v>1.5233903931877959E-2</c:v>
                </c:pt>
                <c:pt idx="11" formatCode="0.00000">
                  <c:v>2.9371934158931967E-2</c:v>
                </c:pt>
                <c:pt idx="12" formatCode="0.00000">
                  <c:v>3.8844969568543254E-2</c:v>
                </c:pt>
                <c:pt idx="13" formatCode="0.00000">
                  <c:v>7.0104318479734265E-2</c:v>
                </c:pt>
                <c:pt idx="14" formatCode="0.00000">
                  <c:v>0.15674660663581122</c:v>
                </c:pt>
                <c:pt idx="15" formatCode="0.00000">
                  <c:v>0.34477654391726847</c:v>
                </c:pt>
                <c:pt idx="16" formatCode="0.00000">
                  <c:v>0.89866661133139347</c:v>
                </c:pt>
                <c:pt idx="17" formatCode="0.00000">
                  <c:v>2.2570358210261738</c:v>
                </c:pt>
                <c:pt idx="18" formatCode="0.00000">
                  <c:v>5.5442331474159605</c:v>
                </c:pt>
                <c:pt idx="19" formatCode="0.00000">
                  <c:v>12.519213796377766</c:v>
                </c:pt>
                <c:pt idx="20" formatCode="0.00000">
                  <c:v>20.980116139414772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37-4AAA-872C-82B2BC372E19}"/>
            </c:ext>
          </c:extLst>
        </c:ser>
        <c:ser>
          <c:idx val="7"/>
          <c:order val="7"/>
          <c:tx>
            <c:strRef>
              <c:f>'cause pop. maschile '!$AI$3</c:f>
              <c:strCache>
                <c:ptCount val="1"/>
                <c:pt idx="0">
                  <c:v>malattie del sistema nervoso e degli organi di senso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maschile 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maschile '!$AI$4:$AI$24</c:f>
              <c:numCache>
                <c:formatCode>0.00000</c:formatCode>
                <c:ptCount val="21"/>
                <c:pt idx="0">
                  <c:v>8.8956842032107866E-2</c:v>
                </c:pt>
                <c:pt idx="1">
                  <c:v>7.2067148365979319E-3</c:v>
                </c:pt>
                <c:pt idx="2">
                  <c:v>5.8723080489632672E-3</c:v>
                </c:pt>
                <c:pt idx="3">
                  <c:v>1.2217792999310235E-2</c:v>
                </c:pt>
                <c:pt idx="4">
                  <c:v>1.9999151264291141E-2</c:v>
                </c:pt>
                <c:pt idx="5">
                  <c:v>2.2202573418036681E-2</c:v>
                </c:pt>
                <c:pt idx="6">
                  <c:v>1.7111421944506433E-2</c:v>
                </c:pt>
                <c:pt idx="7">
                  <c:v>2.0288259247014009E-2</c:v>
                </c:pt>
                <c:pt idx="8">
                  <c:v>2.4653892799913264E-2</c:v>
                </c:pt>
                <c:pt idx="9">
                  <c:v>3.6018810768151326E-2</c:v>
                </c:pt>
                <c:pt idx="10">
                  <c:v>5.5857647750219182E-2</c:v>
                </c:pt>
                <c:pt idx="11">
                  <c:v>0.10116999543632121</c:v>
                </c:pt>
                <c:pt idx="12">
                  <c:v>0.15358703352485564</c:v>
                </c:pt>
                <c:pt idx="13">
                  <c:v>0.23391242898683609</c:v>
                </c:pt>
                <c:pt idx="14">
                  <c:v>0.45575779646825548</c:v>
                </c:pt>
                <c:pt idx="15">
                  <c:v>0.90382099648368686</c:v>
                </c:pt>
                <c:pt idx="16">
                  <c:v>1.9816424993856327</c:v>
                </c:pt>
                <c:pt idx="17">
                  <c:v>3.9583476962030462</c:v>
                </c:pt>
                <c:pt idx="18">
                  <c:v>7.1423249449495332</c:v>
                </c:pt>
                <c:pt idx="19">
                  <c:v>9.8592422738217511</c:v>
                </c:pt>
                <c:pt idx="20">
                  <c:v>10.784461471959144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37-4AAA-872C-82B2BC372E19}"/>
            </c:ext>
          </c:extLst>
        </c:ser>
        <c:ser>
          <c:idx val="8"/>
          <c:order val="8"/>
          <c:tx>
            <c:strRef>
              <c:f>'cause pop. maschile '!$AJ$3</c:f>
              <c:strCache>
                <c:ptCount val="1"/>
                <c:pt idx="0">
                  <c:v>malattie del sistema circolatorio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maschile 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maschile '!$AJ$4:$AJ$24</c:f>
              <c:numCache>
                <c:formatCode>0.00000</c:formatCode>
                <c:ptCount val="21"/>
                <c:pt idx="0">
                  <c:v>3.8918618389047185E-2</c:v>
                </c:pt>
                <c:pt idx="1">
                  <c:v>8.407833976030921E-3</c:v>
                </c:pt>
                <c:pt idx="2">
                  <c:v>2.516703449555686E-3</c:v>
                </c:pt>
                <c:pt idx="3">
                  <c:v>3.8180603122844482E-3</c:v>
                </c:pt>
                <c:pt idx="4">
                  <c:v>1.2799456809146331E-2</c:v>
                </c:pt>
                <c:pt idx="5">
                  <c:v>2.0557938350033965E-2</c:v>
                </c:pt>
                <c:pt idx="6">
                  <c:v>3.3445051982444386E-2</c:v>
                </c:pt>
                <c:pt idx="7">
                  <c:v>6.666142324018888E-2</c:v>
                </c:pt>
                <c:pt idx="8">
                  <c:v>0.13189832647953595</c:v>
                </c:pt>
                <c:pt idx="9">
                  <c:v>0.22270785812983707</c:v>
                </c:pt>
                <c:pt idx="10">
                  <c:v>0.44330660441764858</c:v>
                </c:pt>
                <c:pt idx="11">
                  <c:v>0.85776926238214279</c:v>
                </c:pt>
                <c:pt idx="12">
                  <c:v>1.3613667796483313</c:v>
                </c:pt>
                <c:pt idx="13">
                  <c:v>2.1149292911658444</c:v>
                </c:pt>
                <c:pt idx="14">
                  <c:v>3.1025605509110026</c:v>
                </c:pt>
                <c:pt idx="15">
                  <c:v>4.8979696027117035</c:v>
                </c:pt>
                <c:pt idx="16">
                  <c:v>8.2913752556077505</c:v>
                </c:pt>
                <c:pt idx="17">
                  <c:v>16.45360146840509</c:v>
                </c:pt>
                <c:pt idx="18">
                  <c:v>32.092737667875568</c:v>
                </c:pt>
                <c:pt idx="19">
                  <c:v>61.468472358196607</c:v>
                </c:pt>
                <c:pt idx="20">
                  <c:v>98.516675342983106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F37-4AAA-872C-82B2BC372E19}"/>
            </c:ext>
          </c:extLst>
        </c:ser>
        <c:ser>
          <c:idx val="9"/>
          <c:order val="9"/>
          <c:tx>
            <c:strRef>
              <c:f>'cause pop. maschile '!$AK$3</c:f>
              <c:strCache>
                <c:ptCount val="1"/>
                <c:pt idx="0">
                  <c:v>malattie del sistema respiratorio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maschile 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maschile '!$AK$4:$AK$24</c:f>
              <c:numCache>
                <c:formatCode>0.00000</c:formatCode>
                <c:ptCount val="21"/>
                <c:pt idx="0">
                  <c:v>5.5598026270067416E-3</c:v>
                </c:pt>
                <c:pt idx="1">
                  <c:v>9.6089531154639092E-3</c:v>
                </c:pt>
                <c:pt idx="2">
                  <c:v>8.3890114985189529E-4</c:v>
                </c:pt>
                <c:pt idx="3">
                  <c:v>3.0544482498275588E-3</c:v>
                </c:pt>
                <c:pt idx="4">
                  <c:v>7.999660505716457E-3</c:v>
                </c:pt>
                <c:pt idx="5">
                  <c:v>1.8913303282031248E-2</c:v>
                </c:pt>
                <c:pt idx="6">
                  <c:v>1.1666878598527112E-2</c:v>
                </c:pt>
                <c:pt idx="7">
                  <c:v>2.6084904746160868E-2</c:v>
                </c:pt>
                <c:pt idx="8">
                  <c:v>2.9584671359895915E-2</c:v>
                </c:pt>
                <c:pt idx="9">
                  <c:v>5.5296484137021047E-2</c:v>
                </c:pt>
                <c:pt idx="10">
                  <c:v>9.3942407579914067E-2</c:v>
                </c:pt>
                <c:pt idx="11">
                  <c:v>0.15501854139436316</c:v>
                </c:pt>
                <c:pt idx="12">
                  <c:v>0.28685515989078098</c:v>
                </c:pt>
                <c:pt idx="13">
                  <c:v>0.56291685432737115</c:v>
                </c:pt>
                <c:pt idx="14">
                  <c:v>1.012037873279042</c:v>
                </c:pt>
                <c:pt idx="15">
                  <c:v>1.8319906189502315</c:v>
                </c:pt>
                <c:pt idx="16">
                  <c:v>3.7306739805624325</c:v>
                </c:pt>
                <c:pt idx="17">
                  <c:v>7.9299720737062467</c:v>
                </c:pt>
                <c:pt idx="18">
                  <c:v>16.008189166419914</c:v>
                </c:pt>
                <c:pt idx="19">
                  <c:v>30.004189647092442</c:v>
                </c:pt>
                <c:pt idx="20">
                  <c:v>49.986598719166956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F37-4AAA-872C-82B2BC372E19}"/>
            </c:ext>
          </c:extLst>
        </c:ser>
        <c:ser>
          <c:idx val="10"/>
          <c:order val="10"/>
          <c:tx>
            <c:strRef>
              <c:f>'cause pop. maschile '!$AL$3</c:f>
              <c:strCache>
                <c:ptCount val="1"/>
                <c:pt idx="0">
                  <c:v>malattie dell'apparato digerente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maschile 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maschile '!$AL$4:$AL$24</c:f>
              <c:numCache>
                <c:formatCode>0.00000</c:formatCode>
                <c:ptCount val="21"/>
                <c:pt idx="0">
                  <c:v>1.1119605254013483E-2</c:v>
                </c:pt>
                <c:pt idx="1">
                  <c:v>3.603357418298966E-3</c:v>
                </c:pt>
                <c:pt idx="2">
                  <c:v>2.516703449555686E-3</c:v>
                </c:pt>
                <c:pt idx="3">
                  <c:v>7.636120624568897E-4</c:v>
                </c:pt>
                <c:pt idx="4">
                  <c:v>7.9996605057164566E-4</c:v>
                </c:pt>
                <c:pt idx="5">
                  <c:v>6.5785402720108686E-3</c:v>
                </c:pt>
                <c:pt idx="6">
                  <c:v>9.3335028788216895E-3</c:v>
                </c:pt>
                <c:pt idx="7">
                  <c:v>1.5216194435260505E-2</c:v>
                </c:pt>
                <c:pt idx="8">
                  <c:v>3.0201018679893749E-2</c:v>
                </c:pt>
                <c:pt idx="9">
                  <c:v>6.3920706433620661E-2</c:v>
                </c:pt>
                <c:pt idx="10">
                  <c:v>0.12999598021869191</c:v>
                </c:pt>
                <c:pt idx="11">
                  <c:v>0.29915858865578854</c:v>
                </c:pt>
                <c:pt idx="12">
                  <c:v>0.47151816907047123</c:v>
                </c:pt>
                <c:pt idx="13">
                  <c:v>0.6121981079121348</c:v>
                </c:pt>
                <c:pt idx="14">
                  <c:v>0.83740170827718718</c:v>
                </c:pt>
                <c:pt idx="15">
                  <c:v>1.1804213876489531</c:v>
                </c:pt>
                <c:pt idx="16">
                  <c:v>1.6727655735673461</c:v>
                </c:pt>
                <c:pt idx="17">
                  <c:v>2.9208698860338722</c:v>
                </c:pt>
                <c:pt idx="18">
                  <c:v>5.0233533977079192</c:v>
                </c:pt>
                <c:pt idx="19">
                  <c:v>8.3268673749579598</c:v>
                </c:pt>
                <c:pt idx="20">
                  <c:v>12.086034408230077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F37-4AAA-872C-82B2BC372E19}"/>
            </c:ext>
          </c:extLst>
        </c:ser>
        <c:ser>
          <c:idx val="11"/>
          <c:order val="11"/>
          <c:tx>
            <c:strRef>
              <c:f>'cause pop. maschile '!$AM$3</c:f>
              <c:strCache>
                <c:ptCount val="1"/>
                <c:pt idx="0">
                  <c:v>malattie della cute e del tessuto sottocutaneo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maschile 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maschile '!$AM$4:$AM$24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0">
                  <c:v>1.8490419599934947E-3</c:v>
                </c:pt>
                <c:pt idx="9" formatCode="0.00000">
                  <c:v>5.0730719391762428E-4</c:v>
                </c:pt>
                <c:pt idx="10" formatCode="0.00000">
                  <c:v>1.5233903931877958E-3</c:v>
                </c:pt>
                <c:pt idx="11" formatCode="0.00000">
                  <c:v>6.5270964797626597E-3</c:v>
                </c:pt>
                <c:pt idx="12" formatCode="0.00000">
                  <c:v>8.366608830147778E-3</c:v>
                </c:pt>
                <c:pt idx="13" formatCode="0.00000">
                  <c:v>7.6351237948225435E-3</c:v>
                </c:pt>
                <c:pt idx="14" formatCode="0.00000">
                  <c:v>1.8741442097760037E-2</c:v>
                </c:pt>
                <c:pt idx="15" formatCode="0.00000">
                  <c:v>5.941064739817338E-2</c:v>
                </c:pt>
                <c:pt idx="16" formatCode="0.00000">
                  <c:v>9.2790187591501733E-2</c:v>
                </c:pt>
                <c:pt idx="17" formatCode="0.00000">
                  <c:v>0.21622023831679313</c:v>
                </c:pt>
                <c:pt idx="18" formatCode="0.00000">
                  <c:v>0.41724922358811706</c:v>
                </c:pt>
                <c:pt idx="19" formatCode="0.00000">
                  <c:v>0.92520748610643999</c:v>
                </c:pt>
                <c:pt idx="20" formatCode="0.00000">
                  <c:v>1.6114712544306768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F37-4AAA-872C-82B2BC372E19}"/>
            </c:ext>
          </c:extLst>
        </c:ser>
        <c:ser>
          <c:idx val="12"/>
          <c:order val="12"/>
          <c:tx>
            <c:strRef>
              <c:f>'cause pop. maschile '!$AN$3</c:f>
              <c:strCache>
                <c:ptCount val="1"/>
                <c:pt idx="0">
                  <c:v>malattie del sistema osteomuscolare e del tessuto connettivo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maschile 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maschile '!$AN$4:$AN$24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000">
                  <c:v>7.636120624568897E-4</c:v>
                </c:pt>
                <c:pt idx="4" formatCode="0.00000">
                  <c:v>7.9996605057164566E-4</c:v>
                </c:pt>
                <c:pt idx="5" formatCode="0.00000">
                  <c:v>8.2231753400135857E-4</c:v>
                </c:pt>
                <c:pt idx="6" formatCode="0.00000">
                  <c:v>7.7779190656847416E-4</c:v>
                </c:pt>
                <c:pt idx="7">
                  <c:v>0</c:v>
                </c:pt>
                <c:pt idx="8" formatCode="0.00000">
                  <c:v>1.8490419599934947E-3</c:v>
                </c:pt>
                <c:pt idx="9" formatCode="0.00000">
                  <c:v>1.521921581752873E-3</c:v>
                </c:pt>
                <c:pt idx="10" formatCode="0.00000">
                  <c:v>2.5389839886463261E-3</c:v>
                </c:pt>
                <c:pt idx="11" formatCode="0.00000">
                  <c:v>8.7027953063502118E-3</c:v>
                </c:pt>
                <c:pt idx="12" formatCode="0.00000">
                  <c:v>1.9123677326052066E-2</c:v>
                </c:pt>
                <c:pt idx="13" formatCode="0.00000">
                  <c:v>2.3599473547633316E-2</c:v>
                </c:pt>
                <c:pt idx="14" formatCode="0.00000">
                  <c:v>5.8779977488429211E-2</c:v>
                </c:pt>
                <c:pt idx="15" formatCode="0.00000">
                  <c:v>8.0837438263088368E-2</c:v>
                </c:pt>
                <c:pt idx="16" formatCode="0.00000">
                  <c:v>0.18939367056347611</c:v>
                </c:pt>
                <c:pt idx="17" formatCode="0.00000">
                  <c:v>0.52537724573466404</c:v>
                </c:pt>
                <c:pt idx="18" formatCode="0.00000">
                  <c:v>1.2517476707643511</c:v>
                </c:pt>
                <c:pt idx="19" formatCode="0.00000">
                  <c:v>3.0286088803015496</c:v>
                </c:pt>
                <c:pt idx="20" formatCode="0.00000">
                  <c:v>5.4542103996115214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F37-4AAA-872C-82B2BC372E19}"/>
            </c:ext>
          </c:extLst>
        </c:ser>
        <c:ser>
          <c:idx val="13"/>
          <c:order val="13"/>
          <c:tx>
            <c:strRef>
              <c:f>'cause pop. maschile '!$AO$3</c:f>
              <c:strCache>
                <c:ptCount val="1"/>
                <c:pt idx="0">
                  <c:v>malattie dell'apparato genitourinario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maschile 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maschile '!$AO$4:$AO$24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000">
                  <c:v>7.636120624568897E-4</c:v>
                </c:pt>
                <c:pt idx="4" formatCode="0.00000">
                  <c:v>0</c:v>
                </c:pt>
                <c:pt idx="5" formatCode="0.00000">
                  <c:v>8.2231753400135857E-4</c:v>
                </c:pt>
                <c:pt idx="6">
                  <c:v>0</c:v>
                </c:pt>
                <c:pt idx="7" formatCode="0.00000">
                  <c:v>2.8983227495734299E-3</c:v>
                </c:pt>
                <c:pt idx="8" formatCode="0.00000">
                  <c:v>1.8490419599934947E-3</c:v>
                </c:pt>
                <c:pt idx="9" formatCode="0.00000">
                  <c:v>6.5949935209291153E-3</c:v>
                </c:pt>
                <c:pt idx="10" formatCode="0.00000">
                  <c:v>9.1403423591267744E-3</c:v>
                </c:pt>
                <c:pt idx="11" formatCode="0.00000">
                  <c:v>2.1756988265875531E-2</c:v>
                </c:pt>
                <c:pt idx="12" formatCode="0.00000">
                  <c:v>3.8844969568543254E-2</c:v>
                </c:pt>
                <c:pt idx="13" formatCode="0.00000">
                  <c:v>9.1621485537870515E-2</c:v>
                </c:pt>
                <c:pt idx="14" formatCode="0.00000">
                  <c:v>0.18230311858730219</c:v>
                </c:pt>
                <c:pt idx="15" formatCode="0.00000">
                  <c:v>0.41490058674789937</c:v>
                </c:pt>
                <c:pt idx="16" formatCode="0.00000">
                  <c:v>0.86053365752666666</c:v>
                </c:pt>
                <c:pt idx="17" formatCode="0.00000">
                  <c:v>2.3670426089417353</c:v>
                </c:pt>
                <c:pt idx="18" formatCode="0.00000">
                  <c:v>5.0206262785994999</c:v>
                </c:pt>
                <c:pt idx="19" formatCode="0.00000">
                  <c:v>10.668798824164886</c:v>
                </c:pt>
                <c:pt idx="20" formatCode="0.00000">
                  <c:v>18.717858416848632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F37-4AAA-872C-82B2BC372E19}"/>
            </c:ext>
          </c:extLst>
        </c:ser>
        <c:ser>
          <c:idx val="14"/>
          <c:order val="14"/>
          <c:tx>
            <c:strRef>
              <c:f>'cause pop. maschile '!$AP$3</c:f>
              <c:strCache>
                <c:ptCount val="1"/>
                <c:pt idx="0">
                  <c:v>complicazioni della gravidanza, del parto e del puerperio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maschile 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maschile '!$AP$4:$AP$24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F37-4AAA-872C-82B2BC372E19}"/>
            </c:ext>
          </c:extLst>
        </c:ser>
        <c:ser>
          <c:idx val="15"/>
          <c:order val="15"/>
          <c:tx>
            <c:strRef>
              <c:f>'cause pop. maschile '!$AQ$3</c:f>
              <c:strCache>
                <c:ptCount val="1"/>
                <c:pt idx="0">
                  <c:v>alcune condizioni morbose che hanno origine nel periodo perinatale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maschile 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maschile '!$AQ$4:$AQ$24</c:f>
              <c:numCache>
                <c:formatCode>0.00000</c:formatCode>
                <c:ptCount val="21"/>
                <c:pt idx="0">
                  <c:v>1.5122663145458337</c:v>
                </c:pt>
                <c:pt idx="1">
                  <c:v>2.4022382788659773E-3</c:v>
                </c:pt>
                <c:pt idx="2" formatCode="0">
                  <c:v>0</c:v>
                </c:pt>
                <c:pt idx="3">
                  <c:v>7.636120624568897E-4</c:v>
                </c:pt>
                <c:pt idx="4">
                  <c:v>2.3998981517149372E-3</c:v>
                </c:pt>
                <c:pt idx="5" formatCode="0">
                  <c:v>0</c:v>
                </c:pt>
                <c:pt idx="6">
                  <c:v>1.5555838131369483E-3</c:v>
                </c:pt>
                <c:pt idx="7">
                  <c:v>7.2458068739335746E-4</c:v>
                </c:pt>
                <c:pt idx="8">
                  <c:v>1.2326946399956631E-3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>
                  <c:v>6.9410216316568576E-4</c:v>
                </c:pt>
                <c:pt idx="14">
                  <c:v>8.5188373171636534E-4</c:v>
                </c:pt>
                <c:pt idx="15" formatCode="0">
                  <c:v>0</c:v>
                </c:pt>
                <c:pt idx="16">
                  <c:v>1.2710984601575579E-3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F37-4AAA-872C-82B2BC372E19}"/>
            </c:ext>
          </c:extLst>
        </c:ser>
        <c:ser>
          <c:idx val="16"/>
          <c:order val="16"/>
          <c:tx>
            <c:strRef>
              <c:f>'cause pop. maschile '!$AR$3</c:f>
              <c:strCache>
                <c:ptCount val="1"/>
                <c:pt idx="0">
                  <c:v>malformazioni congenite ed anomalie cromosomiche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maschile 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maschile '!$AR$4:$AR$24</c:f>
              <c:numCache>
                <c:formatCode>0.00000</c:formatCode>
                <c:ptCount val="21"/>
                <c:pt idx="0">
                  <c:v>0.70609493362985609</c:v>
                </c:pt>
                <c:pt idx="1">
                  <c:v>1.4413429673195864E-2</c:v>
                </c:pt>
                <c:pt idx="2">
                  <c:v>6.7112091988151623E-3</c:v>
                </c:pt>
                <c:pt idx="3">
                  <c:v>3.0544482498275588E-3</c:v>
                </c:pt>
                <c:pt idx="4">
                  <c:v>3.9998302528582285E-3</c:v>
                </c:pt>
                <c:pt idx="5">
                  <c:v>8.223175340013586E-3</c:v>
                </c:pt>
                <c:pt idx="6">
                  <c:v>6.2223352525477933E-3</c:v>
                </c:pt>
                <c:pt idx="7">
                  <c:v>5.0720648117535024E-3</c:v>
                </c:pt>
                <c:pt idx="8">
                  <c:v>4.3144312399848207E-3</c:v>
                </c:pt>
                <c:pt idx="9">
                  <c:v>5.5803791330938674E-3</c:v>
                </c:pt>
                <c:pt idx="10">
                  <c:v>1.2694919943231632E-2</c:v>
                </c:pt>
                <c:pt idx="11">
                  <c:v>1.5229891786112872E-2</c:v>
                </c:pt>
                <c:pt idx="12">
                  <c:v>2.3904596657565079E-2</c:v>
                </c:pt>
                <c:pt idx="13">
                  <c:v>2.6375882200296057E-2</c:v>
                </c:pt>
                <c:pt idx="14">
                  <c:v>2.3000860756341866E-2</c:v>
                </c:pt>
                <c:pt idx="15">
                  <c:v>2.3374680943543624E-2</c:v>
                </c:pt>
                <c:pt idx="16">
                  <c:v>1.1439886141418021E-2</c:v>
                </c:pt>
                <c:pt idx="17">
                  <c:v>2.2760025085978224E-2</c:v>
                </c:pt>
                <c:pt idx="18">
                  <c:v>2.9998310192609724E-2</c:v>
                </c:pt>
                <c:pt idx="19">
                  <c:v>0.10119456879289188</c:v>
                </c:pt>
                <c:pt idx="20">
                  <c:v>0.18593899089584731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F37-4AAA-872C-82B2BC372E19}"/>
            </c:ext>
          </c:extLst>
        </c:ser>
        <c:ser>
          <c:idx val="17"/>
          <c:order val="17"/>
          <c:tx>
            <c:strRef>
              <c:f>'cause pop. maschile '!$AS$3</c:f>
              <c:strCache>
                <c:ptCount val="1"/>
                <c:pt idx="0">
                  <c:v>sintomi, segni, risultati anomali e cause mal definite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maschile 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maschile '!$AS$4:$AS$24</c:f>
              <c:numCache>
                <c:formatCode>0.00000</c:formatCode>
                <c:ptCount val="21"/>
                <c:pt idx="0">
                  <c:v>0.15011467092918201</c:v>
                </c:pt>
                <c:pt idx="1">
                  <c:v>4.8044765577319546E-3</c:v>
                </c:pt>
                <c:pt idx="2">
                  <c:v>8.3890114985189529E-4</c:v>
                </c:pt>
                <c:pt idx="3" formatCode="0">
                  <c:v>0</c:v>
                </c:pt>
                <c:pt idx="4">
                  <c:v>3.9998302528582285E-3</c:v>
                </c:pt>
                <c:pt idx="5">
                  <c:v>1.5624033146025814E-2</c:v>
                </c:pt>
                <c:pt idx="6">
                  <c:v>1.5555838131369484E-2</c:v>
                </c:pt>
                <c:pt idx="7">
                  <c:v>1.9563678559620649E-2</c:v>
                </c:pt>
                <c:pt idx="8">
                  <c:v>2.5270240119911094E-2</c:v>
                </c:pt>
                <c:pt idx="9">
                  <c:v>4.5657647452586186E-2</c:v>
                </c:pt>
                <c:pt idx="10">
                  <c:v>6.4490193311616692E-2</c:v>
                </c:pt>
                <c:pt idx="11">
                  <c:v>0.10878494132937766</c:v>
                </c:pt>
                <c:pt idx="12">
                  <c:v>0.12430390261933842</c:v>
                </c:pt>
                <c:pt idx="13">
                  <c:v>0.16311400834393616</c:v>
                </c:pt>
                <c:pt idx="14">
                  <c:v>0.18485876978245128</c:v>
                </c:pt>
                <c:pt idx="15">
                  <c:v>0.28341800644046644</c:v>
                </c:pt>
                <c:pt idx="16">
                  <c:v>0.43725787029419994</c:v>
                </c:pt>
                <c:pt idx="17">
                  <c:v>0.90850433468196412</c:v>
                </c:pt>
                <c:pt idx="18">
                  <c:v>2.0889732370490042</c:v>
                </c:pt>
                <c:pt idx="19">
                  <c:v>5.2404330267747579</c:v>
                </c:pt>
                <c:pt idx="20">
                  <c:v>11.528217435542533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F37-4AAA-872C-82B2BC372E19}"/>
            </c:ext>
          </c:extLst>
        </c:ser>
        <c:ser>
          <c:idx val="18"/>
          <c:order val="18"/>
          <c:tx>
            <c:strRef>
              <c:f>'cause pop. maschile '!$AT$3</c:f>
              <c:strCache>
                <c:ptCount val="1"/>
                <c:pt idx="0">
                  <c:v>cause esterne di traumatismo e avvelenamento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maschile 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maschile '!$AT$4:$AT$24</c:f>
              <c:numCache>
                <c:formatCode>0.00000</c:formatCode>
                <c:ptCount val="21"/>
                <c:pt idx="0">
                  <c:v>8.3397039405101125E-2</c:v>
                </c:pt>
                <c:pt idx="1">
                  <c:v>4.2039169880154603E-2</c:v>
                </c:pt>
                <c:pt idx="2">
                  <c:v>1.0066813798222744E-2</c:v>
                </c:pt>
                <c:pt idx="3">
                  <c:v>1.8326689498965352E-2</c:v>
                </c:pt>
                <c:pt idx="4">
                  <c:v>8.8796231613452667E-2</c:v>
                </c:pt>
                <c:pt idx="5">
                  <c:v>0.20969097117034644</c:v>
                </c:pt>
                <c:pt idx="6">
                  <c:v>0.25433795344789106</c:v>
                </c:pt>
                <c:pt idx="7">
                  <c:v>0.31809092176568393</c:v>
                </c:pt>
                <c:pt idx="8">
                  <c:v>0.30016114483894396</c:v>
                </c:pt>
                <c:pt idx="9">
                  <c:v>0.34902734941532548</c:v>
                </c:pt>
                <c:pt idx="10">
                  <c:v>0.38287878548786602</c:v>
                </c:pt>
                <c:pt idx="11">
                  <c:v>0.44656218415709525</c:v>
                </c:pt>
                <c:pt idx="12">
                  <c:v>0.4398445784991975</c:v>
                </c:pt>
                <c:pt idx="13">
                  <c:v>0.44908409956819867</c:v>
                </c:pt>
                <c:pt idx="14">
                  <c:v>0.49409256439549187</c:v>
                </c:pt>
                <c:pt idx="15">
                  <c:v>0.66520446185167903</c:v>
                </c:pt>
                <c:pt idx="16">
                  <c:v>0.89231111903060567</c:v>
                </c:pt>
                <c:pt idx="17">
                  <c:v>1.7240719002628506</c:v>
                </c:pt>
                <c:pt idx="18">
                  <c:v>2.9071089695747241</c:v>
                </c:pt>
                <c:pt idx="19">
                  <c:v>4.9296211369108756</c:v>
                </c:pt>
                <c:pt idx="20">
                  <c:v>8.8011122357367739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F37-4AAA-872C-82B2BC372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9837983"/>
        <c:axId val="1439834655"/>
      </c:lineChart>
      <c:catAx>
        <c:axId val="14398379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>
                    <a:solidFill>
                      <a:schemeClr val="tx1"/>
                    </a:solidFill>
                  </a:rPr>
                  <a:t>classi di</a:t>
                </a:r>
                <a:r>
                  <a:rPr lang="it-IT" baseline="0">
                    <a:solidFill>
                      <a:schemeClr val="tx1"/>
                    </a:solidFill>
                  </a:rPr>
                  <a:t> </a:t>
                </a:r>
                <a:r>
                  <a:rPr lang="it-IT">
                    <a:solidFill>
                      <a:schemeClr val="tx1"/>
                    </a:solidFill>
                  </a:rPr>
                  <a:t>età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9834655"/>
        <c:crosses val="autoZero"/>
        <c:auto val="1"/>
        <c:lblAlgn val="ctr"/>
        <c:lblOffset val="100"/>
        <c:noMultiLvlLbl val="0"/>
      </c:catAx>
      <c:valAx>
        <c:axId val="1439834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>
                    <a:solidFill>
                      <a:schemeClr val="tx1"/>
                    </a:solidFill>
                  </a:rPr>
                  <a:t>mx</a:t>
                </a:r>
                <a:r>
                  <a:rPr lang="it-IT" baseline="0">
                    <a:solidFill>
                      <a:schemeClr val="tx1"/>
                    </a:solidFill>
                  </a:rPr>
                  <a:t> (per mille)</a:t>
                </a:r>
                <a:endParaRPr lang="it-IT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983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78051403198018E-2"/>
          <c:y val="0.76069709079881853"/>
          <c:w val="0.93415610453656084"/>
          <c:h val="0.228039846343195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Contribution</a:t>
            </a:r>
            <a:r>
              <a:rPr lang="en-US" baseline="0"/>
              <a:t> of different age to gender gap (%)</a:t>
            </a:r>
            <a:endParaRPr lang="en-US"/>
          </a:p>
        </c:rich>
      </c:tx>
      <c:layout>
        <c:manualLayout>
          <c:xMode val="edge"/>
          <c:yMode val="edge"/>
          <c:x val="0.4777637795275590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arriaga!$Q$2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arriaga!$L$3:$L$23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arriaga!$Q$3:$Q$23</c:f>
              <c:numCache>
                <c:formatCode>0.00%</c:formatCode>
                <c:ptCount val="21"/>
                <c:pt idx="0">
                  <c:v>6.9228593052143494E-3</c:v>
                </c:pt>
                <c:pt idx="1">
                  <c:v>3.0045010076859904E-3</c:v>
                </c:pt>
                <c:pt idx="2">
                  <c:v>-5.689848809848528E-4</c:v>
                </c:pt>
                <c:pt idx="3">
                  <c:v>1.1919217501958062E-3</c:v>
                </c:pt>
                <c:pt idx="4">
                  <c:v>4.6984921069580183E-3</c:v>
                </c:pt>
                <c:pt idx="5">
                  <c:v>1.4002102436064133E-2</c:v>
                </c:pt>
                <c:pt idx="6">
                  <c:v>1.3451819518443675E-2</c:v>
                </c:pt>
                <c:pt idx="7">
                  <c:v>1.6336563997459804E-2</c:v>
                </c:pt>
                <c:pt idx="8">
                  <c:v>1.5198006282346528E-2</c:v>
                </c:pt>
                <c:pt idx="9">
                  <c:v>1.9078920042914622E-2</c:v>
                </c:pt>
                <c:pt idx="10">
                  <c:v>3.0066477031722591E-2</c:v>
                </c:pt>
                <c:pt idx="11">
                  <c:v>5.4951611417815925E-2</c:v>
                </c:pt>
                <c:pt idx="12">
                  <c:v>7.9761739951566407E-2</c:v>
                </c:pt>
                <c:pt idx="13">
                  <c:v>0.11324180649071031</c:v>
                </c:pt>
                <c:pt idx="14">
                  <c:v>0.14000776487434599</c:v>
                </c:pt>
                <c:pt idx="15">
                  <c:v>0.15104560882336554</c:v>
                </c:pt>
                <c:pt idx="16">
                  <c:v>0.14305847597154914</c:v>
                </c:pt>
                <c:pt idx="17">
                  <c:v>0.10968282852021649</c:v>
                </c:pt>
                <c:pt idx="18">
                  <c:v>6.1970597288176846E-2</c:v>
                </c:pt>
                <c:pt idx="19">
                  <c:v>2.0948485987279008E-2</c:v>
                </c:pt>
                <c:pt idx="20">
                  <c:v>1.9484020769537113E-3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28-444A-8717-F6A5C63D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03055"/>
        <c:axId val="328012047"/>
      </c:barChart>
      <c:catAx>
        <c:axId val="155303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8012047"/>
        <c:crosses val="autoZero"/>
        <c:auto val="1"/>
        <c:lblAlgn val="ctr"/>
        <c:lblOffset val="100"/>
        <c:noMultiLvlLbl val="0"/>
      </c:catAx>
      <c:valAx>
        <c:axId val="328012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3030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Arriaga Decomposition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arriaga!$N$2</c:f>
              <c:strCache>
                <c:ptCount val="1"/>
                <c:pt idx="0">
                  <c:v>DIRETTO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arriaga!$L$3:$L$23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arriaga!$N$3:$N$23</c:f>
              <c:numCache>
                <c:formatCode>0.00000</c:formatCode>
                <c:ptCount val="21"/>
                <c:pt idx="0">
                  <c:v>4.3884513216352339E-4</c:v>
                </c:pt>
                <c:pt idx="1">
                  <c:v>4.2681486056135619E-4</c:v>
                </c:pt>
                <c:pt idx="2">
                  <c:v>-1.0038783585595709E-4</c:v>
                </c:pt>
                <c:pt idx="3">
                  <c:v>2.2468477277082338E-4</c:v>
                </c:pt>
                <c:pt idx="4">
                  <c:v>9.5052987192518915E-4</c:v>
                </c:pt>
                <c:pt idx="5">
                  <c:v>3.0563728459451541E-3</c:v>
                </c:pt>
                <c:pt idx="6">
                  <c:v>3.1871523434343399E-3</c:v>
                </c:pt>
                <c:pt idx="7">
                  <c:v>4.2310041745407499E-3</c:v>
                </c:pt>
                <c:pt idx="8">
                  <c:v>4.3376534865745518E-3</c:v>
                </c:pt>
                <c:pt idx="9">
                  <c:v>6.058037959004098E-3</c:v>
                </c:pt>
                <c:pt idx="10">
                  <c:v>1.0738009243951968E-2</c:v>
                </c:pt>
                <c:pt idx="11">
                  <c:v>2.2353102180428575E-2</c:v>
                </c:pt>
                <c:pt idx="12">
                  <c:v>3.7517025421160199E-2</c:v>
                </c:pt>
                <c:pt idx="13">
                  <c:v>6.2816330167534698E-2</c:v>
                </c:pt>
                <c:pt idx="14">
                  <c:v>9.4084398201066621E-2</c:v>
                </c:pt>
                <c:pt idx="15">
                  <c:v>0.12717938104990387</c:v>
                </c:pt>
                <c:pt idx="16">
                  <c:v>0.15687820193273561</c:v>
                </c:pt>
                <c:pt idx="17">
                  <c:v>0.15963544980621977</c:v>
                </c:pt>
                <c:pt idx="18">
                  <c:v>0.11970430421572889</c:v>
                </c:pt>
                <c:pt idx="19">
                  <c:v>5.1445639124121645E-2</c:v>
                </c:pt>
                <c:pt idx="20">
                  <c:v>1.0683979589845637E-2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AE-40BF-BC79-B333AEFBC311}"/>
            </c:ext>
          </c:extLst>
        </c:ser>
        <c:ser>
          <c:idx val="1"/>
          <c:order val="1"/>
          <c:tx>
            <c:strRef>
              <c:f>arriaga!$O$2</c:f>
              <c:strCache>
                <c:ptCount val="1"/>
                <c:pt idx="0">
                  <c:v>INDIRETTO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arriaga!$L$3:$L$23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arriaga!$O$3:$O$23</c:f>
              <c:numCache>
                <c:formatCode>0.00000</c:formatCode>
                <c:ptCount val="21"/>
                <c:pt idx="0">
                  <c:v>3.7522358253496917E-2</c:v>
                </c:pt>
                <c:pt idx="1">
                  <c:v>1.604823811925046E-2</c:v>
                </c:pt>
                <c:pt idx="2">
                  <c:v>-3.0196164626804882E-3</c:v>
                </c:pt>
                <c:pt idx="3">
                  <c:v>6.3111672479246048E-3</c:v>
                </c:pt>
                <c:pt idx="4">
                  <c:v>2.4813450965271832E-2</c:v>
                </c:pt>
                <c:pt idx="5">
                  <c:v>7.3723557955468755E-2</c:v>
                </c:pt>
                <c:pt idx="6">
                  <c:v>7.0575325576955283E-2</c:v>
                </c:pt>
                <c:pt idx="7">
                  <c:v>8.5349846914448399E-2</c:v>
                </c:pt>
                <c:pt idx="8">
                  <c:v>7.899996498938526E-2</c:v>
                </c:pt>
                <c:pt idx="9">
                  <c:v>9.8560405403309834E-2</c:v>
                </c:pt>
                <c:pt idx="10">
                  <c:v>0.15413023368449075</c:v>
                </c:pt>
                <c:pt idx="11">
                  <c:v>0.2789717125287593</c:v>
                </c:pt>
                <c:pt idx="12">
                  <c:v>0.39985306968029155</c:v>
                </c:pt>
                <c:pt idx="13">
                  <c:v>0.55814028016189543</c:v>
                </c:pt>
                <c:pt idx="14">
                  <c:v>0.67364220198616809</c:v>
                </c:pt>
                <c:pt idx="15">
                  <c:v>0.70107276510246563</c:v>
                </c:pt>
                <c:pt idx="16">
                  <c:v>0.62757684228695143</c:v>
                </c:pt>
                <c:pt idx="17">
                  <c:v>0.44180565679468026</c:v>
                </c:pt>
                <c:pt idx="18">
                  <c:v>0.22010881979437982</c:v>
                </c:pt>
                <c:pt idx="19">
                  <c:v>6.3424489261382763E-2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AE-40BF-BC79-B333AEFBC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496415"/>
        <c:axId val="335923439"/>
      </c:barChart>
      <c:catAx>
        <c:axId val="42849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35923439"/>
        <c:crosses val="autoZero"/>
        <c:auto val="1"/>
        <c:lblAlgn val="ctr"/>
        <c:lblOffset val="100"/>
        <c:noMultiLvlLbl val="0"/>
      </c:catAx>
      <c:valAx>
        <c:axId val="33592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28496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 b="1">
                <a:ln>
                  <a:noFill/>
                </a:ln>
                <a:solidFill>
                  <a:schemeClr val="tx1"/>
                </a:solidFill>
              </a:rPr>
              <a:t>Tassi di mortalità (per mille)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9447374663542545E-2"/>
          <c:y val="0.15147760218688122"/>
          <c:w val="0.89055268585039016"/>
          <c:h val="0.6577434061662952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femminile'!$A$4:$A$24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femminile'!$Y$4:$Y$24</c:f>
              <c:numCache>
                <c:formatCode>General</c:formatCode>
                <c:ptCount val="21"/>
                <c:pt idx="0">
                  <c:v>2.3095500480667774</c:v>
                </c:pt>
                <c:pt idx="1">
                  <c:v>9.0324605656691509E-2</c:v>
                </c:pt>
                <c:pt idx="2">
                  <c:v>6.4266508914782486E-2</c:v>
                </c:pt>
                <c:pt idx="3">
                  <c:v>6.5187459964697284E-2</c:v>
                </c:pt>
                <c:pt idx="4">
                  <c:v>0.11718425167541441</c:v>
                </c:pt>
                <c:pt idx="5">
                  <c:v>0.13057887112800245</c:v>
                </c:pt>
                <c:pt idx="6">
                  <c:v>0.19397663138810642</c:v>
                </c:pt>
                <c:pt idx="7">
                  <c:v>0.27210552277258354</c:v>
                </c:pt>
                <c:pt idx="8">
                  <c:v>0.41812058010884462</c:v>
                </c:pt>
                <c:pt idx="9">
                  <c:v>0.65839491541764139</c:v>
                </c:pt>
                <c:pt idx="10">
                  <c:v>1.1017281479011694</c:v>
                </c:pt>
                <c:pt idx="11">
                  <c:v>1.8859258543553346</c:v>
                </c:pt>
                <c:pt idx="12">
                  <c:v>3.0717456659578097</c:v>
                </c:pt>
                <c:pt idx="13">
                  <c:v>4.6535691434305981</c:v>
                </c:pt>
                <c:pt idx="14">
                  <c:v>6.8482365810764865</c:v>
                </c:pt>
                <c:pt idx="15">
                  <c:v>11.126313207794896</c:v>
                </c:pt>
                <c:pt idx="16">
                  <c:v>20.516868469199128</c:v>
                </c:pt>
                <c:pt idx="17">
                  <c:v>45.34178714895102</c:v>
                </c:pt>
                <c:pt idx="18">
                  <c:v>93.017433877402055</c:v>
                </c:pt>
                <c:pt idx="19">
                  <c:v>181.54270521201147</c:v>
                </c:pt>
                <c:pt idx="20">
                  <c:v>324.45283973579694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3-49B2-AD05-F979FFB10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2166496"/>
        <c:axId val="1982167328"/>
      </c:lineChart>
      <c:catAx>
        <c:axId val="1982166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>
                    <a:solidFill>
                      <a:schemeClr val="tx1"/>
                    </a:solidFill>
                  </a:rPr>
                  <a:t>classi di età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82167328"/>
        <c:crosses val="autoZero"/>
        <c:auto val="1"/>
        <c:lblAlgn val="ctr"/>
        <c:lblOffset val="100"/>
        <c:noMultiLvlLbl val="0"/>
      </c:catAx>
      <c:valAx>
        <c:axId val="198216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>
                    <a:solidFill>
                      <a:schemeClr val="tx1"/>
                    </a:solidFill>
                  </a:rPr>
                  <a:t>mx</a:t>
                </a:r>
                <a:r>
                  <a:rPr lang="it-IT" baseline="0">
                    <a:solidFill>
                      <a:schemeClr val="tx1"/>
                    </a:solidFill>
                  </a:rPr>
                  <a:t> (per mille)</a:t>
                </a:r>
                <a:endParaRPr lang="it-IT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8216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 b="1">
                <a:solidFill>
                  <a:schemeClr val="tx1"/>
                </a:solidFill>
              </a:rPr>
              <a:t>Tassi di mortalità (per mille) specifici</a:t>
            </a:r>
            <a:r>
              <a:rPr lang="it-IT" b="1" baseline="0">
                <a:solidFill>
                  <a:schemeClr val="tx1"/>
                </a:solidFill>
              </a:rPr>
              <a:t> per età e causa </a:t>
            </a:r>
            <a:endParaRPr lang="it-IT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2152486671460739E-2"/>
          <c:y val="6.1262386780601703E-2"/>
          <c:w val="0.94017589800321089"/>
          <c:h val="0.63312083338373037"/>
        </c:manualLayout>
      </c:layout>
      <c:lineChart>
        <c:grouping val="standard"/>
        <c:varyColors val="0"/>
        <c:ser>
          <c:idx val="0"/>
          <c:order val="0"/>
          <c:tx>
            <c:strRef>
              <c:f>'cause pop. femminile'!$AB$3</c:f>
              <c:strCache>
                <c:ptCount val="1"/>
                <c:pt idx="0">
                  <c:v>Malattie infettive e parassitarie - COVID ESCLUSO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femminile'!$AB$4:$AB$24</c:f>
              <c:numCache>
                <c:formatCode>0.00000</c:formatCode>
                <c:ptCount val="21"/>
                <c:pt idx="0">
                  <c:v>3.5170812914722502E-2</c:v>
                </c:pt>
                <c:pt idx="1">
                  <c:v>7.6330652667626619E-3</c:v>
                </c:pt>
                <c:pt idx="2">
                  <c:v>8.9259040159420122E-4</c:v>
                </c:pt>
                <c:pt idx="3">
                  <c:v>8.1484324955871613E-4</c:v>
                </c:pt>
                <c:pt idx="4">
                  <c:v>8.5535950128039716E-4</c:v>
                </c:pt>
                <c:pt idx="5">
                  <c:v>8.6476073594703618E-4</c:v>
                </c:pt>
                <c:pt idx="6">
                  <c:v>1.596515484675773E-3</c:v>
                </c:pt>
                <c:pt idx="7">
                  <c:v>5.0657943069363958E-3</c:v>
                </c:pt>
                <c:pt idx="8">
                  <c:v>7.3247400894980077E-3</c:v>
                </c:pt>
                <c:pt idx="9">
                  <c:v>9.2370292108476578E-3</c:v>
                </c:pt>
                <c:pt idx="10">
                  <c:v>1.8078052122147643E-2</c:v>
                </c:pt>
                <c:pt idx="11">
                  <c:v>3.3057895722895234E-2</c:v>
                </c:pt>
                <c:pt idx="12">
                  <c:v>4.172937508470987E-2</c:v>
                </c:pt>
                <c:pt idx="13">
                  <c:v>4.5835069655289412E-2</c:v>
                </c:pt>
                <c:pt idx="14">
                  <c:v>7.4572449158727627E-2</c:v>
                </c:pt>
                <c:pt idx="15">
                  <c:v>0.13159794889436482</c:v>
                </c:pt>
                <c:pt idx="16">
                  <c:v>0.28856926729658045</c:v>
                </c:pt>
                <c:pt idx="17">
                  <c:v>0.6378100620941034</c:v>
                </c:pt>
                <c:pt idx="18">
                  <c:v>1.2473359959425918</c:v>
                </c:pt>
                <c:pt idx="19">
                  <c:v>2.0349977571536066</c:v>
                </c:pt>
                <c:pt idx="20">
                  <c:v>3.1852103810807928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A-499A-B89C-1E0F3DD7419D}"/>
            </c:ext>
          </c:extLst>
        </c:ser>
        <c:ser>
          <c:idx val="1"/>
          <c:order val="1"/>
          <c:tx>
            <c:strRef>
              <c:f>'cause pop. femminile'!$AC$3</c:f>
              <c:strCache>
                <c:ptCount val="1"/>
                <c:pt idx="0">
                  <c:v>COVID-19 - Virus identificato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femminile'!$AC$4:$AC$24</c:f>
              <c:numCache>
                <c:formatCode>0</c:formatCode>
                <c:ptCount val="21"/>
                <c:pt idx="0" formatCode="0.00000">
                  <c:v>1.7585406457361251E-2</c:v>
                </c:pt>
                <c:pt idx="1">
                  <c:v>0</c:v>
                </c:pt>
                <c:pt idx="2">
                  <c:v>0</c:v>
                </c:pt>
                <c:pt idx="3" formatCode="0.00000">
                  <c:v>1.6296864991174323E-3</c:v>
                </c:pt>
                <c:pt idx="4" formatCode="0.00000">
                  <c:v>2.5660785038411913E-3</c:v>
                </c:pt>
                <c:pt idx="5" formatCode="0.00000">
                  <c:v>5.1885644156822166E-3</c:v>
                </c:pt>
                <c:pt idx="6" formatCode="0.00000">
                  <c:v>1.0377350650392525E-2</c:v>
                </c:pt>
                <c:pt idx="7" formatCode="0.00000">
                  <c:v>1.5921067821800101E-2</c:v>
                </c:pt>
                <c:pt idx="8" formatCode="0.00000">
                  <c:v>2.0143035246119521E-2</c:v>
                </c:pt>
                <c:pt idx="9" formatCode="0.00000">
                  <c:v>2.5658414474576827E-2</c:v>
                </c:pt>
                <c:pt idx="10" formatCode="0.00000">
                  <c:v>6.0948861440383487E-2</c:v>
                </c:pt>
                <c:pt idx="11" formatCode="0.00000">
                  <c:v>0.10025755260222326</c:v>
                </c:pt>
                <c:pt idx="12" formatCode="0.00000">
                  <c:v>0.21502219661704669</c:v>
                </c:pt>
                <c:pt idx="13" formatCode="0.00000">
                  <c:v>0.36733534395167661</c:v>
                </c:pt>
                <c:pt idx="14" formatCode="0.00000">
                  <c:v>0.66726806070153155</c:v>
                </c:pt>
                <c:pt idx="15" formatCode="0.00000">
                  <c:v>1.3092738609745087</c:v>
                </c:pt>
                <c:pt idx="16" formatCode="0.00000">
                  <c:v>2.6814587901256188</c:v>
                </c:pt>
                <c:pt idx="17" formatCode="0.00000">
                  <c:v>5.7233690674036177</c:v>
                </c:pt>
                <c:pt idx="18" formatCode="0.00000">
                  <c:v>11.580147237363098</c:v>
                </c:pt>
                <c:pt idx="19" formatCode="0.00000">
                  <c:v>21.081662158377814</c:v>
                </c:pt>
                <c:pt idx="20" formatCode="0.00000">
                  <c:v>34.013869544852923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A-499A-B89C-1E0F3DD7419D}"/>
            </c:ext>
          </c:extLst>
        </c:ser>
        <c:ser>
          <c:idx val="2"/>
          <c:order val="2"/>
          <c:tx>
            <c:strRef>
              <c:f>'cause pop. femminile'!$AD$3</c:f>
              <c:strCache>
                <c:ptCount val="1"/>
                <c:pt idx="0">
                  <c:v>COVID-19 - Virus non identificato - Sospetto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femminile'!$AD$4:$AD$24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000">
                  <c:v>8.5535950128039716E-4</c:v>
                </c:pt>
                <c:pt idx="5" formatCode="0.00000">
                  <c:v>8.6476073594703618E-4</c:v>
                </c:pt>
                <c:pt idx="6" formatCode="0.00000">
                  <c:v>1.596515484675773E-3</c:v>
                </c:pt>
                <c:pt idx="7" formatCode="0.00000">
                  <c:v>2.8947396039636546E-3</c:v>
                </c:pt>
                <c:pt idx="8" formatCode="0.00000">
                  <c:v>1.8311850223745019E-3</c:v>
                </c:pt>
                <c:pt idx="9" formatCode="0.00000">
                  <c:v>3.592178026440756E-3</c:v>
                </c:pt>
                <c:pt idx="10" formatCode="0.00000">
                  <c:v>7.2312208488590577E-3</c:v>
                </c:pt>
                <c:pt idx="11" formatCode="0.00000">
                  <c:v>1.6257981503063231E-2</c:v>
                </c:pt>
                <c:pt idx="12" formatCode="0.00000">
                  <c:v>3.0137882005623794E-2</c:v>
                </c:pt>
                <c:pt idx="13" formatCode="0.00000">
                  <c:v>5.1728150039540906E-2</c:v>
                </c:pt>
                <c:pt idx="14" formatCode="0.00000">
                  <c:v>8.3117208958165156E-2</c:v>
                </c:pt>
                <c:pt idx="15" formatCode="0.00000">
                  <c:v>0.20955087403561279</c:v>
                </c:pt>
                <c:pt idx="16" formatCode="0.00000">
                  <c:v>0.47146528178032859</c:v>
                </c:pt>
                <c:pt idx="17" formatCode="0.00000">
                  <c:v>1.4135953621106048</c:v>
                </c:pt>
                <c:pt idx="18" formatCode="0.00000">
                  <c:v>3.5254236640709502</c:v>
                </c:pt>
                <c:pt idx="19" formatCode="0.00000">
                  <c:v>7.5748953432411135</c:v>
                </c:pt>
                <c:pt idx="20" formatCode="0.00000">
                  <c:v>14.756400880220196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0A-499A-B89C-1E0F3DD7419D}"/>
            </c:ext>
          </c:extLst>
        </c:ser>
        <c:ser>
          <c:idx val="3"/>
          <c:order val="3"/>
          <c:tx>
            <c:strRef>
              <c:f>'cause pop. femminile'!$AE$3</c:f>
              <c:strCache>
                <c:ptCount val="1"/>
                <c:pt idx="0">
                  <c:v>tumori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femminile'!$AE$4:$AE$24</c:f>
              <c:numCache>
                <c:formatCode>0.00000</c:formatCode>
                <c:ptCount val="21"/>
                <c:pt idx="0">
                  <c:v>1.7585406457361251E-2</c:v>
                </c:pt>
                <c:pt idx="1">
                  <c:v>2.2899195800287986E-2</c:v>
                </c:pt>
                <c:pt idx="2">
                  <c:v>2.7670302449420238E-2</c:v>
                </c:pt>
                <c:pt idx="3">
                  <c:v>2.0371081238967904E-2</c:v>
                </c:pt>
                <c:pt idx="4">
                  <c:v>3.6780458555057079E-2</c:v>
                </c:pt>
                <c:pt idx="5">
                  <c:v>3.4590429437881445E-2</c:v>
                </c:pt>
                <c:pt idx="6">
                  <c:v>4.2307660343907982E-2</c:v>
                </c:pt>
                <c:pt idx="7">
                  <c:v>0.10710536534665523</c:v>
                </c:pt>
                <c:pt idx="8">
                  <c:v>0.17518336714049401</c:v>
                </c:pt>
                <c:pt idx="9">
                  <c:v>0.32637503211661723</c:v>
                </c:pt>
                <c:pt idx="10">
                  <c:v>0.57643160480905065</c:v>
                </c:pt>
                <c:pt idx="11">
                  <c:v>1.0182915748085271</c:v>
                </c:pt>
                <c:pt idx="12">
                  <c:v>1.6859826683530696</c:v>
                </c:pt>
                <c:pt idx="13">
                  <c:v>2.4606884537796803</c:v>
                </c:pt>
                <c:pt idx="14">
                  <c:v>3.2050617211344807</c:v>
                </c:pt>
                <c:pt idx="15">
                  <c:v>4.1608421548511272</c:v>
                </c:pt>
                <c:pt idx="16">
                  <c:v>5.6189720005284851</c:v>
                </c:pt>
                <c:pt idx="17">
                  <c:v>8.4282043919577951</c:v>
                </c:pt>
                <c:pt idx="18">
                  <c:v>11.679744408141785</c:v>
                </c:pt>
                <c:pt idx="19">
                  <c:v>14.728418759238542</c:v>
                </c:pt>
                <c:pt idx="20">
                  <c:v>16.24979459987447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0A-499A-B89C-1E0F3DD7419D}"/>
            </c:ext>
          </c:extLst>
        </c:ser>
        <c:ser>
          <c:idx val="4"/>
          <c:order val="4"/>
          <c:tx>
            <c:strRef>
              <c:f>'cause pop. femminile'!$AF$3</c:f>
              <c:strCache>
                <c:ptCount val="1"/>
                <c:pt idx="0">
                  <c:v>malattie del sangue e degli organi ematopoietici ed alcuni disturbi del sistema immunitario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femminile'!$AF$4:$AF$24</c:f>
              <c:numCache>
                <c:formatCode>0.00000</c:formatCode>
                <c:ptCount val="21"/>
                <c:pt idx="0">
                  <c:v>5.8618021524537503E-3</c:v>
                </c:pt>
                <c:pt idx="1">
                  <c:v>2.5443550889208875E-3</c:v>
                </c:pt>
                <c:pt idx="2">
                  <c:v>1.7851808031884024E-3</c:v>
                </c:pt>
                <c:pt idx="3" formatCode="0">
                  <c:v>0</c:v>
                </c:pt>
                <c:pt idx="4">
                  <c:v>8.5535950128039716E-4</c:v>
                </c:pt>
                <c:pt idx="5">
                  <c:v>8.6476073594703618E-4</c:v>
                </c:pt>
                <c:pt idx="6">
                  <c:v>7.982577423378865E-4</c:v>
                </c:pt>
                <c:pt idx="7">
                  <c:v>2.1710547029727412E-3</c:v>
                </c:pt>
                <c:pt idx="8">
                  <c:v>2.4415800298326694E-3</c:v>
                </c:pt>
                <c:pt idx="9">
                  <c:v>3.0790097369492193E-3</c:v>
                </c:pt>
                <c:pt idx="10">
                  <c:v>5.6816735241035452E-3</c:v>
                </c:pt>
                <c:pt idx="11">
                  <c:v>7.0451253179940661E-3</c:v>
                </c:pt>
                <c:pt idx="12">
                  <c:v>1.1591493079086074E-2</c:v>
                </c:pt>
                <c:pt idx="13">
                  <c:v>1.5714881024670654E-2</c:v>
                </c:pt>
                <c:pt idx="14">
                  <c:v>3.1071853816136509E-2</c:v>
                </c:pt>
                <c:pt idx="15">
                  <c:v>3.0175325861128241E-2</c:v>
                </c:pt>
                <c:pt idx="16">
                  <c:v>8.9415829303165772E-2</c:v>
                </c:pt>
                <c:pt idx="17">
                  <c:v>0.19524797819207249</c:v>
                </c:pt>
                <c:pt idx="18">
                  <c:v>0.4473968147677484</c:v>
                </c:pt>
                <c:pt idx="19">
                  <c:v>0.91460573355218278</c:v>
                </c:pt>
                <c:pt idx="20">
                  <c:v>2.3079721121929677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0A-499A-B89C-1E0F3DD7419D}"/>
            </c:ext>
          </c:extLst>
        </c:ser>
        <c:ser>
          <c:idx val="5"/>
          <c:order val="5"/>
          <c:tx>
            <c:strRef>
              <c:f>'cause pop. femminile'!$AG$3</c:f>
              <c:strCache>
                <c:ptCount val="1"/>
                <c:pt idx="0">
                  <c:v>malattie endocrine, nutrizionali e metaboliche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femminile'!$AG$4:$AG$24</c:f>
              <c:numCache>
                <c:formatCode>0.00000</c:formatCode>
                <c:ptCount val="21"/>
                <c:pt idx="0">
                  <c:v>2.9309010762268752E-2</c:v>
                </c:pt>
                <c:pt idx="1">
                  <c:v>1.017742035568355E-2</c:v>
                </c:pt>
                <c:pt idx="2">
                  <c:v>4.4629520079710059E-3</c:v>
                </c:pt>
                <c:pt idx="3">
                  <c:v>2.4445297486761484E-3</c:v>
                </c:pt>
                <c:pt idx="4">
                  <c:v>8.5535950128039716E-4</c:v>
                </c:pt>
                <c:pt idx="5">
                  <c:v>5.1885644156822166E-3</c:v>
                </c:pt>
                <c:pt idx="6">
                  <c:v>4.7895464540273188E-3</c:v>
                </c:pt>
                <c:pt idx="7">
                  <c:v>2.1710547029727412E-3</c:v>
                </c:pt>
                <c:pt idx="8">
                  <c:v>7.9351350969561751E-3</c:v>
                </c:pt>
                <c:pt idx="9">
                  <c:v>8.7238609213561216E-3</c:v>
                </c:pt>
                <c:pt idx="10">
                  <c:v>2.0144115221821662E-2</c:v>
                </c:pt>
                <c:pt idx="11">
                  <c:v>2.4386972254594845E-2</c:v>
                </c:pt>
                <c:pt idx="12">
                  <c:v>5.3320868163795943E-2</c:v>
                </c:pt>
                <c:pt idx="13">
                  <c:v>9.8872793113552876E-2</c:v>
                </c:pt>
                <c:pt idx="14">
                  <c:v>0.1592432508076996</c:v>
                </c:pt>
                <c:pt idx="15">
                  <c:v>0.3361196019531229</c:v>
                </c:pt>
                <c:pt idx="16">
                  <c:v>0.69195658813018057</c:v>
                </c:pt>
                <c:pt idx="17">
                  <c:v>1.7403103122853394</c:v>
                </c:pt>
                <c:pt idx="18">
                  <c:v>3.6866762262840611</c:v>
                </c:pt>
                <c:pt idx="19">
                  <c:v>6.7713488773345532</c:v>
                </c:pt>
                <c:pt idx="20">
                  <c:v>11.821830004535926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0A-499A-B89C-1E0F3DD7419D}"/>
            </c:ext>
          </c:extLst>
        </c:ser>
        <c:ser>
          <c:idx val="6"/>
          <c:order val="6"/>
          <c:tx>
            <c:strRef>
              <c:f>'cause pop. femminile'!$AH$3</c:f>
              <c:strCache>
                <c:ptCount val="1"/>
                <c:pt idx="0">
                  <c:v>disturbi psichici e comportamentali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femminile'!$AH$4:$AH$24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000">
                  <c:v>8.5535950128039716E-4</c:v>
                </c:pt>
                <c:pt idx="5" formatCode="0.00000">
                  <c:v>1.7295214718940724E-3</c:v>
                </c:pt>
                <c:pt idx="6">
                  <c:v>0</c:v>
                </c:pt>
                <c:pt idx="7" formatCode="0.00000">
                  <c:v>7.2368490099091365E-4</c:v>
                </c:pt>
                <c:pt idx="8" formatCode="0.00000">
                  <c:v>4.2727650522071713E-3</c:v>
                </c:pt>
                <c:pt idx="9" formatCode="0.00000">
                  <c:v>3.0790097369492193E-3</c:v>
                </c:pt>
                <c:pt idx="10" formatCode="0.00000">
                  <c:v>4.6486419742665375E-3</c:v>
                </c:pt>
                <c:pt idx="11" formatCode="0.00000">
                  <c:v>9.754788901837938E-3</c:v>
                </c:pt>
                <c:pt idx="12" formatCode="0.00000">
                  <c:v>1.2171067733040379E-2</c:v>
                </c:pt>
                <c:pt idx="13" formatCode="0.00000">
                  <c:v>2.7501041793173649E-2</c:v>
                </c:pt>
                <c:pt idx="14" formatCode="0.00000">
                  <c:v>8.3117208958165156E-2</c:v>
                </c:pt>
                <c:pt idx="15" formatCode="0.00000">
                  <c:v>0.24475542087359572</c:v>
                </c:pt>
                <c:pt idx="16" formatCode="0.00000">
                  <c:v>0.67671525358986828</c:v>
                </c:pt>
                <c:pt idx="17" formatCode="0.00000">
                  <c:v>2.2974178767267195</c:v>
                </c:pt>
                <c:pt idx="18" formatCode="0.00000">
                  <c:v>6.0185147484834562</c:v>
                </c:pt>
                <c:pt idx="19" formatCode="0.00000">
                  <c:v>15.31637958795066</c:v>
                </c:pt>
                <c:pt idx="20" formatCode="0.00000">
                  <c:v>32.520475825198652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0A-499A-B89C-1E0F3DD7419D}"/>
            </c:ext>
          </c:extLst>
        </c:ser>
        <c:ser>
          <c:idx val="7"/>
          <c:order val="7"/>
          <c:tx>
            <c:strRef>
              <c:f>'cause pop. femminile'!$AI$3</c:f>
              <c:strCache>
                <c:ptCount val="1"/>
                <c:pt idx="0">
                  <c:v>malattie del sistema nervoso e degli organi di senso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femminile'!$AI$4:$AI$24</c:f>
              <c:numCache>
                <c:formatCode>0.00000</c:formatCode>
                <c:ptCount val="21"/>
                <c:pt idx="0">
                  <c:v>4.1032615067176252E-2</c:v>
                </c:pt>
                <c:pt idx="1">
                  <c:v>1.2721775444604436E-2</c:v>
                </c:pt>
                <c:pt idx="2">
                  <c:v>1.0711084819130415E-2</c:v>
                </c:pt>
                <c:pt idx="3">
                  <c:v>8.1484324955871604E-3</c:v>
                </c:pt>
                <c:pt idx="4">
                  <c:v>1.1119673516645162E-2</c:v>
                </c:pt>
                <c:pt idx="5">
                  <c:v>7.7828466235233254E-3</c:v>
                </c:pt>
                <c:pt idx="6">
                  <c:v>1.1973866135068298E-2</c:v>
                </c:pt>
                <c:pt idx="7">
                  <c:v>1.7368437623781929E-2</c:v>
                </c:pt>
                <c:pt idx="8">
                  <c:v>1.5259875186454183E-2</c:v>
                </c:pt>
                <c:pt idx="9">
                  <c:v>2.2579404737627609E-2</c:v>
                </c:pt>
                <c:pt idx="10">
                  <c:v>3.3573525369702768E-2</c:v>
                </c:pt>
                <c:pt idx="11">
                  <c:v>6.9909320463171887E-2</c:v>
                </c:pt>
                <c:pt idx="12">
                  <c:v>0.10548258701968329</c:v>
                </c:pt>
                <c:pt idx="13">
                  <c:v>0.19840037293646703</c:v>
                </c:pt>
                <c:pt idx="14">
                  <c:v>0.35111194812234253</c:v>
                </c:pt>
                <c:pt idx="15">
                  <c:v>0.66134255845639389</c:v>
                </c:pt>
                <c:pt idx="16">
                  <c:v>1.6521606641698585</c:v>
                </c:pt>
                <c:pt idx="17">
                  <c:v>3.750062834475739</c:v>
                </c:pt>
                <c:pt idx="18">
                  <c:v>7.676886687322213</c:v>
                </c:pt>
                <c:pt idx="19">
                  <c:v>12.81427961687576</c:v>
                </c:pt>
                <c:pt idx="20">
                  <c:v>16.134918159901066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0A-499A-B89C-1E0F3DD7419D}"/>
            </c:ext>
          </c:extLst>
        </c:ser>
        <c:ser>
          <c:idx val="8"/>
          <c:order val="8"/>
          <c:tx>
            <c:strRef>
              <c:f>'cause pop. femminile'!$AJ$3</c:f>
              <c:strCache>
                <c:ptCount val="1"/>
                <c:pt idx="0">
                  <c:v>malattie del sistema circolatorio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femminile'!$AJ$4:$AJ$24</c:f>
              <c:numCache>
                <c:formatCode>0.00000</c:formatCode>
                <c:ptCount val="21"/>
                <c:pt idx="0">
                  <c:v>6.447982367699126E-2</c:v>
                </c:pt>
                <c:pt idx="1">
                  <c:v>1.2721775444604437E-3</c:v>
                </c:pt>
                <c:pt idx="2">
                  <c:v>2.6777712047826039E-3</c:v>
                </c:pt>
                <c:pt idx="3">
                  <c:v>2.4445297486761484E-3</c:v>
                </c:pt>
                <c:pt idx="4">
                  <c:v>1.0264314015364765E-2</c:v>
                </c:pt>
                <c:pt idx="5">
                  <c:v>6.9180858875762894E-3</c:v>
                </c:pt>
                <c:pt idx="6">
                  <c:v>2.1552959043122936E-2</c:v>
                </c:pt>
                <c:pt idx="7">
                  <c:v>2.3157916831709237E-2</c:v>
                </c:pt>
                <c:pt idx="8">
                  <c:v>5.1273180626486059E-2</c:v>
                </c:pt>
                <c:pt idx="9">
                  <c:v>7.8514748292205089E-2</c:v>
                </c:pt>
                <c:pt idx="10">
                  <c:v>0.14359138542734415</c:v>
                </c:pt>
                <c:pt idx="11">
                  <c:v>0.22706980832611645</c:v>
                </c:pt>
                <c:pt idx="12">
                  <c:v>0.38020097299402322</c:v>
                </c:pt>
                <c:pt idx="13">
                  <c:v>0.67181116380467054</c:v>
                </c:pt>
                <c:pt idx="14">
                  <c:v>1.0657645858934823</c:v>
                </c:pt>
                <c:pt idx="15">
                  <c:v>2.1055671823098372</c:v>
                </c:pt>
                <c:pt idx="16">
                  <c:v>4.5154993798098717</c:v>
                </c:pt>
                <c:pt idx="17">
                  <c:v>11.5092174878287</c:v>
                </c:pt>
                <c:pt idx="18">
                  <c:v>26.279424918319016</c:v>
                </c:pt>
                <c:pt idx="19">
                  <c:v>56.0457327724584</c:v>
                </c:pt>
                <c:pt idx="20">
                  <c:v>106.97085224069036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0A-499A-B89C-1E0F3DD7419D}"/>
            </c:ext>
          </c:extLst>
        </c:ser>
        <c:ser>
          <c:idx val="9"/>
          <c:order val="9"/>
          <c:tx>
            <c:strRef>
              <c:f>'cause pop. femminile'!$AK$3</c:f>
              <c:strCache>
                <c:ptCount val="1"/>
                <c:pt idx="0">
                  <c:v>malattie del sistema respiratorio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femminile'!$AK$4:$AK$24</c:f>
              <c:numCache>
                <c:formatCode>0.00000</c:formatCode>
                <c:ptCount val="21"/>
                <c:pt idx="0">
                  <c:v>1.1723604304907501E-2</c:v>
                </c:pt>
                <c:pt idx="1">
                  <c:v>6.360887722302218E-3</c:v>
                </c:pt>
                <c:pt idx="2">
                  <c:v>1.7851808031884024E-3</c:v>
                </c:pt>
                <c:pt idx="3">
                  <c:v>3.2593729982348645E-3</c:v>
                </c:pt>
                <c:pt idx="4">
                  <c:v>3.4214380051215887E-3</c:v>
                </c:pt>
                <c:pt idx="5">
                  <c:v>6.9180858875762894E-3</c:v>
                </c:pt>
                <c:pt idx="6">
                  <c:v>5.5878041963652054E-3</c:v>
                </c:pt>
                <c:pt idx="7">
                  <c:v>1.2302643316845533E-2</c:v>
                </c:pt>
                <c:pt idx="8">
                  <c:v>1.8922245231203186E-2</c:v>
                </c:pt>
                <c:pt idx="9">
                  <c:v>2.0013563290169924E-2</c:v>
                </c:pt>
                <c:pt idx="10">
                  <c:v>4.0804746218561824E-2</c:v>
                </c:pt>
                <c:pt idx="11">
                  <c:v>7.8038311214703504E-2</c:v>
                </c:pt>
                <c:pt idx="12">
                  <c:v>0.13156344644762694</c:v>
                </c:pt>
                <c:pt idx="13">
                  <c:v>0.21018653370497004</c:v>
                </c:pt>
                <c:pt idx="14">
                  <c:v>0.41247885940921214</c:v>
                </c:pt>
                <c:pt idx="15">
                  <c:v>0.685650459844525</c:v>
                </c:pt>
                <c:pt idx="16">
                  <c:v>1.3056743256200911</c:v>
                </c:pt>
                <c:pt idx="17">
                  <c:v>3.4389677225563697</c:v>
                </c:pt>
                <c:pt idx="18">
                  <c:v>7.4840159756555504</c:v>
                </c:pt>
                <c:pt idx="19">
                  <c:v>15.731218617097543</c:v>
                </c:pt>
                <c:pt idx="20">
                  <c:v>29.993194145783725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0A-499A-B89C-1E0F3DD7419D}"/>
            </c:ext>
          </c:extLst>
        </c:ser>
        <c:ser>
          <c:idx val="10"/>
          <c:order val="10"/>
          <c:tx>
            <c:strRef>
              <c:f>'cause pop. femminile'!$AL$3</c:f>
              <c:strCache>
                <c:ptCount val="1"/>
                <c:pt idx="0">
                  <c:v>malattie dell'apparato digerente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femminile'!$AL$4:$AL$24</c:f>
              <c:numCache>
                <c:formatCode>0.00000</c:formatCode>
                <c:ptCount val="21"/>
                <c:pt idx="0">
                  <c:v>2.9309010762268752E-2</c:v>
                </c:pt>
                <c:pt idx="1">
                  <c:v>2.5443550889208875E-3</c:v>
                </c:pt>
                <c:pt idx="2">
                  <c:v>8.9259040159420122E-4</c:v>
                </c:pt>
                <c:pt idx="3">
                  <c:v>1.6296864991174323E-3</c:v>
                </c:pt>
                <c:pt idx="4">
                  <c:v>3.4214380051215887E-3</c:v>
                </c:pt>
                <c:pt idx="5">
                  <c:v>3.4590429437881447E-3</c:v>
                </c:pt>
                <c:pt idx="6">
                  <c:v>7.1843196810409786E-3</c:v>
                </c:pt>
                <c:pt idx="7">
                  <c:v>8.6842188118909647E-3</c:v>
                </c:pt>
                <c:pt idx="8">
                  <c:v>1.0987110134247012E-2</c:v>
                </c:pt>
                <c:pt idx="9">
                  <c:v>3.2842770527458341E-2</c:v>
                </c:pt>
                <c:pt idx="10">
                  <c:v>4.5969903967746868E-2</c:v>
                </c:pt>
                <c:pt idx="11">
                  <c:v>9.4838225434535503E-2</c:v>
                </c:pt>
                <c:pt idx="12">
                  <c:v>0.15416685795184479</c:v>
                </c:pt>
                <c:pt idx="13">
                  <c:v>0.2167344007985828</c:v>
                </c:pt>
                <c:pt idx="14">
                  <c:v>0.3037273710527344</c:v>
                </c:pt>
                <c:pt idx="15">
                  <c:v>0.49286365573176127</c:v>
                </c:pt>
                <c:pt idx="16">
                  <c:v>0.97646149954934436</c:v>
                </c:pt>
                <c:pt idx="17">
                  <c:v>2.0370872391372896</c:v>
                </c:pt>
                <c:pt idx="18">
                  <c:v>4.099293076652903</c:v>
                </c:pt>
                <c:pt idx="19">
                  <c:v>7.4148393398694816</c:v>
                </c:pt>
                <c:pt idx="20">
                  <c:v>11.247447804668898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0A-499A-B89C-1E0F3DD7419D}"/>
            </c:ext>
          </c:extLst>
        </c:ser>
        <c:ser>
          <c:idx val="11"/>
          <c:order val="11"/>
          <c:tx>
            <c:strRef>
              <c:f>'cause pop. femminile'!$AM$3</c:f>
              <c:strCache>
                <c:ptCount val="1"/>
                <c:pt idx="0">
                  <c:v>malattie della cute e del tessuto sottocutaneo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femminile'!$AM$4:$AM$24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0.00000">
                  <c:v>1.0263365789830732E-3</c:v>
                </c:pt>
                <c:pt idx="10" formatCode="0.00000">
                  <c:v>1.0330315498370082E-3</c:v>
                </c:pt>
                <c:pt idx="11" formatCode="0.00000">
                  <c:v>1.6257981503063231E-3</c:v>
                </c:pt>
                <c:pt idx="12" formatCode="0.00000">
                  <c:v>2.3182986158172148E-3</c:v>
                </c:pt>
                <c:pt idx="13" formatCode="0.00000">
                  <c:v>5.8930803842514963E-3</c:v>
                </c:pt>
                <c:pt idx="14" formatCode="0.00000">
                  <c:v>1.4759130562664842E-2</c:v>
                </c:pt>
                <c:pt idx="15" formatCode="0.00000">
                  <c:v>3.0175325861128241E-2</c:v>
                </c:pt>
                <c:pt idx="16" formatCode="0.00000">
                  <c:v>0.1026249859047698</c:v>
                </c:pt>
                <c:pt idx="17" formatCode="0.00000">
                  <c:v>0.24080583977022271</c:v>
                </c:pt>
                <c:pt idx="18" formatCode="0.00000">
                  <c:v>0.50430948378414042</c:v>
                </c:pt>
                <c:pt idx="19" formatCode="0.00000">
                  <c:v>1.1824545555210362</c:v>
                </c:pt>
                <c:pt idx="20" formatCode="0.00000">
                  <c:v>2.2244256103941273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A-499A-B89C-1E0F3DD7419D}"/>
            </c:ext>
          </c:extLst>
        </c:ser>
        <c:ser>
          <c:idx val="12"/>
          <c:order val="12"/>
          <c:tx>
            <c:strRef>
              <c:f>'cause pop. femminile'!$AN$3</c:f>
              <c:strCache>
                <c:ptCount val="1"/>
                <c:pt idx="0">
                  <c:v>malattie del sistema osteomuscolare e del tessuto connettivo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femminile'!$AN$4:$AN$24</c:f>
              <c:numCache>
                <c:formatCode>0</c:formatCode>
                <c:ptCount val="21"/>
                <c:pt idx="0" formatCode="0.00000">
                  <c:v>5.8618021524537503E-3</c:v>
                </c:pt>
                <c:pt idx="1">
                  <c:v>0</c:v>
                </c:pt>
                <c:pt idx="2">
                  <c:v>0</c:v>
                </c:pt>
                <c:pt idx="3" formatCode="0.00000">
                  <c:v>8.1484324955871613E-4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0000">
                  <c:v>7.2368490099091365E-4</c:v>
                </c:pt>
                <c:pt idx="8" formatCode="0.00000">
                  <c:v>2.4415800298326694E-3</c:v>
                </c:pt>
                <c:pt idx="9" formatCode="0.00000">
                  <c:v>4.1053463159322926E-3</c:v>
                </c:pt>
                <c:pt idx="10" formatCode="0.00000">
                  <c:v>4.1321261993480327E-3</c:v>
                </c:pt>
                <c:pt idx="11" formatCode="0.00000">
                  <c:v>1.3006385202450585E-2</c:v>
                </c:pt>
                <c:pt idx="12" formatCode="0.00000">
                  <c:v>2.0285112888400632E-2</c:v>
                </c:pt>
                <c:pt idx="13" formatCode="0.00000">
                  <c:v>2.3572321537005985E-2</c:v>
                </c:pt>
                <c:pt idx="14" formatCode="0.00000">
                  <c:v>5.2822151487432065E-2</c:v>
                </c:pt>
                <c:pt idx="15" formatCode="0.00000">
                  <c:v>8.0467535629675305E-2</c:v>
                </c:pt>
                <c:pt idx="16" formatCode="0.00000">
                  <c:v>0.22455566222726858</c:v>
                </c:pt>
                <c:pt idx="17" formatCode="0.00000">
                  <c:v>0.61438030471105476</c:v>
                </c:pt>
                <c:pt idx="18" formatCode="0.00000">
                  <c:v>1.3753895012294739</c:v>
                </c:pt>
                <c:pt idx="19" formatCode="0.00000">
                  <c:v>3.2370510069650469</c:v>
                </c:pt>
                <c:pt idx="20" formatCode="0.00000">
                  <c:v>6.8925863984043385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A-499A-B89C-1E0F3DD7419D}"/>
            </c:ext>
          </c:extLst>
        </c:ser>
        <c:ser>
          <c:idx val="13"/>
          <c:order val="13"/>
          <c:tx>
            <c:strRef>
              <c:f>'cause pop. femminile'!$AO$3</c:f>
              <c:strCache>
                <c:ptCount val="1"/>
                <c:pt idx="0">
                  <c:v>malattie dell'apparato genitourinario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femminile'!$AO$4:$AO$24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 formatCode="0.00000">
                  <c:v>8.9259040159420122E-4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000">
                  <c:v>7.982577423378865E-4</c:v>
                </c:pt>
                <c:pt idx="7" formatCode="0.00000">
                  <c:v>2.1710547029727412E-3</c:v>
                </c:pt>
                <c:pt idx="8" formatCode="0.00000">
                  <c:v>2.4415800298326694E-3</c:v>
                </c:pt>
                <c:pt idx="9" formatCode="0.00000">
                  <c:v>3.0790097369492193E-3</c:v>
                </c:pt>
                <c:pt idx="10" formatCode="0.00000">
                  <c:v>1.2912894372962603E-2</c:v>
                </c:pt>
                <c:pt idx="11" formatCode="0.00000">
                  <c:v>1.7883779653369552E-2</c:v>
                </c:pt>
                <c:pt idx="12" formatCode="0.00000">
                  <c:v>2.6660434081897971E-2</c:v>
                </c:pt>
                <c:pt idx="13" formatCode="0.00000">
                  <c:v>4.3215922817844303E-2</c:v>
                </c:pt>
                <c:pt idx="14" formatCode="0.00000">
                  <c:v>9.4769154139216355E-2</c:v>
                </c:pt>
                <c:pt idx="15" formatCode="0.00000">
                  <c:v>0.24056440339288346</c:v>
                </c:pt>
                <c:pt idx="16" formatCode="0.00000">
                  <c:v>0.59847640294959814</c:v>
                </c:pt>
                <c:pt idx="17" formatCode="0.00000">
                  <c:v>1.6856408783915591</c:v>
                </c:pt>
                <c:pt idx="18" formatCode="0.00000">
                  <c:v>3.9427832368578248</c:v>
                </c:pt>
                <c:pt idx="19" formatCode="0.00000">
                  <c:v>8.4045734015348792</c:v>
                </c:pt>
                <c:pt idx="20" formatCode="0.00000">
                  <c:v>15.685855712732296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A-499A-B89C-1E0F3DD7419D}"/>
            </c:ext>
          </c:extLst>
        </c:ser>
        <c:ser>
          <c:idx val="14"/>
          <c:order val="14"/>
          <c:tx>
            <c:strRef>
              <c:f>'cause pop. femminile'!$AP$3</c:f>
              <c:strCache>
                <c:ptCount val="1"/>
                <c:pt idx="0">
                  <c:v>complicazioni della gravidanza, del parto e del puerperio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femminile'!$AP$4:$AP$24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000">
                  <c:v>8.6476073594703618E-4</c:v>
                </c:pt>
                <c:pt idx="6" formatCode="0.00000">
                  <c:v>7.982577423378865E-4</c:v>
                </c:pt>
                <c:pt idx="7" formatCode="0.00000">
                  <c:v>1.4473698019818273E-3</c:v>
                </c:pt>
                <c:pt idx="8" formatCode="0.00000">
                  <c:v>2.4415800298326694E-3</c:v>
                </c:pt>
                <c:pt idx="9" formatCode="0.00000">
                  <c:v>1.0263365789830732E-3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90A-499A-B89C-1E0F3DD7419D}"/>
            </c:ext>
          </c:extLst>
        </c:ser>
        <c:ser>
          <c:idx val="15"/>
          <c:order val="15"/>
          <c:tx>
            <c:strRef>
              <c:f>'cause pop. femminile'!$AQ$3</c:f>
              <c:strCache>
                <c:ptCount val="1"/>
                <c:pt idx="0">
                  <c:v>alcune condizioni morbose che hanno origine nel periodo perinatale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femminile'!$AQ$4:$AQ$24</c:f>
              <c:numCache>
                <c:formatCode>0.00000</c:formatCode>
                <c:ptCount val="21"/>
                <c:pt idx="0">
                  <c:v>1.2778728692349175</c:v>
                </c:pt>
                <c:pt idx="1">
                  <c:v>1.2721775444604437E-3</c:v>
                </c:pt>
                <c:pt idx="2">
                  <c:v>8.9259040159420122E-4</c:v>
                </c:pt>
                <c:pt idx="3" formatCode="0">
                  <c:v>0</c:v>
                </c:pt>
                <c:pt idx="4">
                  <c:v>8.5535950128039716E-4</c:v>
                </c:pt>
                <c:pt idx="5">
                  <c:v>1.7295214718940724E-3</c:v>
                </c:pt>
                <c:pt idx="6" formatCode="0">
                  <c:v>0</c:v>
                </c:pt>
                <c:pt idx="7">
                  <c:v>1.4473698019818273E-3</c:v>
                </c:pt>
                <c:pt idx="8">
                  <c:v>1.2207900149163347E-3</c:v>
                </c:pt>
                <c:pt idx="9">
                  <c:v>5.1316828949153658E-4</c:v>
                </c:pt>
                <c:pt idx="10">
                  <c:v>1.0330315498370082E-3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>
                  <c:v>7.7679634540341275E-4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>
                  <c:v>1.0443312724855058E-2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90A-499A-B89C-1E0F3DD7419D}"/>
            </c:ext>
          </c:extLst>
        </c:ser>
        <c:ser>
          <c:idx val="16"/>
          <c:order val="16"/>
          <c:tx>
            <c:strRef>
              <c:f>'cause pop. femminile'!$AR$3</c:f>
              <c:strCache>
                <c:ptCount val="1"/>
                <c:pt idx="0">
                  <c:v>malformazioni congenite ed anomalie cromosomiche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femminile'!$AR$4:$AR$24</c:f>
              <c:numCache>
                <c:formatCode>0.00000</c:formatCode>
                <c:ptCount val="21"/>
                <c:pt idx="0">
                  <c:v>0.48652957865366125</c:v>
                </c:pt>
                <c:pt idx="1">
                  <c:v>6.360887722302218E-3</c:v>
                </c:pt>
                <c:pt idx="2">
                  <c:v>1.7851808031884024E-3</c:v>
                </c:pt>
                <c:pt idx="3">
                  <c:v>5.7039027469110125E-3</c:v>
                </c:pt>
                <c:pt idx="4">
                  <c:v>6.8428760102431773E-3</c:v>
                </c:pt>
                <c:pt idx="5">
                  <c:v>6.0533251516292534E-3</c:v>
                </c:pt>
                <c:pt idx="6">
                  <c:v>3.9912887116894322E-3</c:v>
                </c:pt>
                <c:pt idx="7">
                  <c:v>4.3421094059454823E-3</c:v>
                </c:pt>
                <c:pt idx="8">
                  <c:v>7.9351350969561751E-3</c:v>
                </c:pt>
                <c:pt idx="9">
                  <c:v>6.1580194738984385E-3</c:v>
                </c:pt>
                <c:pt idx="10">
                  <c:v>9.8137997234515779E-3</c:v>
                </c:pt>
                <c:pt idx="11">
                  <c:v>1.246445248568181E-2</c:v>
                </c:pt>
                <c:pt idx="12">
                  <c:v>2.1444262196309238E-2</c:v>
                </c:pt>
                <c:pt idx="13">
                  <c:v>3.0120188630618758E-2</c:v>
                </c:pt>
                <c:pt idx="14">
                  <c:v>1.3205537871858016E-2</c:v>
                </c:pt>
                <c:pt idx="15">
                  <c:v>1.424945943442167E-2</c:v>
                </c:pt>
                <c:pt idx="16">
                  <c:v>1.5241334540312347E-2</c:v>
                </c:pt>
                <c:pt idx="17">
                  <c:v>3.3842982886625898E-2</c:v>
                </c:pt>
                <c:pt idx="18">
                  <c:v>3.1618149453551125E-2</c:v>
                </c:pt>
                <c:pt idx="19">
                  <c:v>4.8996735726009787E-2</c:v>
                </c:pt>
                <c:pt idx="20">
                  <c:v>7.31031890739854E-2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90A-499A-B89C-1E0F3DD7419D}"/>
            </c:ext>
          </c:extLst>
        </c:ser>
        <c:ser>
          <c:idx val="17"/>
          <c:order val="17"/>
          <c:tx>
            <c:strRef>
              <c:f>'cause pop. femminile'!$AS$3</c:f>
              <c:strCache>
                <c:ptCount val="1"/>
                <c:pt idx="0">
                  <c:v>sintomi, segni, risultati anomali e cause mal definite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femminile'!$AS$4:$AS$24</c:f>
              <c:numCache>
                <c:formatCode>0.00000</c:formatCode>
                <c:ptCount val="21"/>
                <c:pt idx="0">
                  <c:v>0.21688667964078875</c:v>
                </c:pt>
                <c:pt idx="1">
                  <c:v>3.816532633381331E-3</c:v>
                </c:pt>
                <c:pt idx="2">
                  <c:v>3.5703616063768049E-3</c:v>
                </c:pt>
                <c:pt idx="3">
                  <c:v>2.4445297486761484E-3</c:v>
                </c:pt>
                <c:pt idx="4">
                  <c:v>1.7107190025607943E-3</c:v>
                </c:pt>
                <c:pt idx="5">
                  <c:v>2.5942822078411083E-3</c:v>
                </c:pt>
                <c:pt idx="6">
                  <c:v>7.9825774233788643E-3</c:v>
                </c:pt>
                <c:pt idx="7">
                  <c:v>1.0855273514863706E-2</c:v>
                </c:pt>
                <c:pt idx="8">
                  <c:v>4.8831600596653387E-3</c:v>
                </c:pt>
                <c:pt idx="9">
                  <c:v>1.5908216974237634E-2</c:v>
                </c:pt>
                <c:pt idx="10">
                  <c:v>2.1177146771658668E-2</c:v>
                </c:pt>
                <c:pt idx="11">
                  <c:v>3.2515963006126462E-2</c:v>
                </c:pt>
                <c:pt idx="12">
                  <c:v>3.8251927160984044E-2</c:v>
                </c:pt>
                <c:pt idx="13">
                  <c:v>4.5180282945928137E-2</c:v>
                </c:pt>
                <c:pt idx="14">
                  <c:v>6.9911671086307151E-2</c:v>
                </c:pt>
                <c:pt idx="15">
                  <c:v>0.13914178035964689</c:v>
                </c:pt>
                <c:pt idx="16">
                  <c:v>0.20931432768695624</c:v>
                </c:pt>
                <c:pt idx="17">
                  <c:v>0.71070264061914379</c:v>
                </c:pt>
                <c:pt idx="18">
                  <c:v>1.6852473658742748</c:v>
                </c:pt>
                <c:pt idx="19">
                  <c:v>4.8147458973425623</c:v>
                </c:pt>
                <c:pt idx="20">
                  <c:v>14.380441622125415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90A-499A-B89C-1E0F3DD7419D}"/>
            </c:ext>
          </c:extLst>
        </c:ser>
        <c:ser>
          <c:idx val="18"/>
          <c:order val="18"/>
          <c:tx>
            <c:strRef>
              <c:f>'cause pop. femminile'!$AT$3</c:f>
              <c:strCache>
                <c:ptCount val="1"/>
                <c:pt idx="0">
                  <c:v>cause esterne di traumatismo e avvelenamento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femminile'!$AT$4:$AT$24</c:f>
              <c:numCache>
                <c:formatCode>0.00000</c:formatCode>
                <c:ptCount val="21"/>
                <c:pt idx="0">
                  <c:v>7.0341625829445004E-2</c:v>
                </c:pt>
                <c:pt idx="1">
                  <c:v>1.2721775444604436E-2</c:v>
                </c:pt>
                <c:pt idx="2">
                  <c:v>6.2481328111594087E-3</c:v>
                </c:pt>
                <c:pt idx="3">
                  <c:v>1.5482021741615606E-2</c:v>
                </c:pt>
                <c:pt idx="4">
                  <c:v>3.592509905377668E-2</c:v>
                </c:pt>
                <c:pt idx="5">
                  <c:v>4.496755826924588E-2</c:v>
                </c:pt>
                <c:pt idx="6">
                  <c:v>7.2641454552747675E-2</c:v>
                </c:pt>
                <c:pt idx="7">
                  <c:v>5.3552682673327613E-2</c:v>
                </c:pt>
                <c:pt idx="8">
                  <c:v>8.1182535991936255E-2</c:v>
                </c:pt>
                <c:pt idx="9">
                  <c:v>9.2883460397968118E-2</c:v>
                </c:pt>
                <c:pt idx="10">
                  <c:v>9.4522386810086262E-2</c:v>
                </c:pt>
                <c:pt idx="11">
                  <c:v>0.12952191930773707</c:v>
                </c:pt>
                <c:pt idx="12">
                  <c:v>0.14141621556485012</c:v>
                </c:pt>
                <c:pt idx="13">
                  <c:v>0.14077914251267462</c:v>
                </c:pt>
                <c:pt idx="14">
                  <c:v>0.16545762157092692</c:v>
                </c:pt>
                <c:pt idx="15">
                  <c:v>0.25397565933116267</c:v>
                </c:pt>
                <c:pt idx="16">
                  <c:v>0.39830687598682935</c:v>
                </c:pt>
                <c:pt idx="17">
                  <c:v>0.88512416780406189</c:v>
                </c:pt>
                <c:pt idx="18">
                  <c:v>1.7532263871994098</c:v>
                </c:pt>
                <c:pt idx="19">
                  <c:v>3.4265050517722848</c:v>
                </c:pt>
                <c:pt idx="20">
                  <c:v>5.9840181913419483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890A-499A-B89C-1E0F3DD74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25328"/>
        <c:axId val="115423248"/>
      </c:lineChart>
      <c:catAx>
        <c:axId val="115425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>
                    <a:solidFill>
                      <a:schemeClr val="tx1"/>
                    </a:solidFill>
                  </a:rPr>
                  <a:t>classi di età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5423248"/>
        <c:crosses val="autoZero"/>
        <c:auto val="1"/>
        <c:lblAlgn val="ctr"/>
        <c:lblOffset val="100"/>
        <c:noMultiLvlLbl val="0"/>
      </c:catAx>
      <c:valAx>
        <c:axId val="11542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>
                    <a:solidFill>
                      <a:schemeClr val="tx1"/>
                    </a:solidFill>
                  </a:rPr>
                  <a:t>mx (per mille)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542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298435679848896E-2"/>
          <c:y val="0.75537521867440038"/>
          <c:w val="0.92362067768799716"/>
          <c:h val="0.220319229834321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 b="1">
                <a:solidFill>
                  <a:schemeClr val="tx1"/>
                </a:solidFill>
              </a:rPr>
              <a:t>Tassi di mortalità (per mille) specifici</a:t>
            </a:r>
            <a:r>
              <a:rPr lang="it-IT" b="1" baseline="0">
                <a:solidFill>
                  <a:schemeClr val="tx1"/>
                </a:solidFill>
              </a:rPr>
              <a:t> per età e causa </a:t>
            </a:r>
            <a:endParaRPr lang="it-IT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2152486671460739E-2"/>
          <c:y val="6.1262386780601703E-2"/>
          <c:w val="0.94017589800321089"/>
          <c:h val="0.63312083338373037"/>
        </c:manualLayout>
      </c:layout>
      <c:lineChart>
        <c:grouping val="standard"/>
        <c:varyColors val="0"/>
        <c:ser>
          <c:idx val="0"/>
          <c:order val="0"/>
          <c:tx>
            <c:strRef>
              <c:f>'cause pop. femminile'!$AB$3</c:f>
              <c:strCache>
                <c:ptCount val="1"/>
                <c:pt idx="0">
                  <c:v>Malattie infettive e parassitarie - COVID ESCLUSO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femminile'!$AB$4:$AB$24</c:f>
              <c:numCache>
                <c:formatCode>0.00000</c:formatCode>
                <c:ptCount val="21"/>
                <c:pt idx="0">
                  <c:v>3.5170812914722502E-2</c:v>
                </c:pt>
                <c:pt idx="1">
                  <c:v>7.6330652667626619E-3</c:v>
                </c:pt>
                <c:pt idx="2">
                  <c:v>8.9259040159420122E-4</c:v>
                </c:pt>
                <c:pt idx="3">
                  <c:v>8.1484324955871613E-4</c:v>
                </c:pt>
                <c:pt idx="4">
                  <c:v>8.5535950128039716E-4</c:v>
                </c:pt>
                <c:pt idx="5">
                  <c:v>8.6476073594703618E-4</c:v>
                </c:pt>
                <c:pt idx="6">
                  <c:v>1.596515484675773E-3</c:v>
                </c:pt>
                <c:pt idx="7">
                  <c:v>5.0657943069363958E-3</c:v>
                </c:pt>
                <c:pt idx="8">
                  <c:v>7.3247400894980077E-3</c:v>
                </c:pt>
                <c:pt idx="9">
                  <c:v>9.2370292108476578E-3</c:v>
                </c:pt>
                <c:pt idx="10">
                  <c:v>1.8078052122147643E-2</c:v>
                </c:pt>
                <c:pt idx="11">
                  <c:v>3.3057895722895234E-2</c:v>
                </c:pt>
                <c:pt idx="12">
                  <c:v>4.172937508470987E-2</c:v>
                </c:pt>
                <c:pt idx="13">
                  <c:v>4.5835069655289412E-2</c:v>
                </c:pt>
                <c:pt idx="14">
                  <c:v>7.4572449158727627E-2</c:v>
                </c:pt>
                <c:pt idx="15">
                  <c:v>0.13159794889436482</c:v>
                </c:pt>
                <c:pt idx="16">
                  <c:v>0.28856926729658045</c:v>
                </c:pt>
                <c:pt idx="17">
                  <c:v>0.6378100620941034</c:v>
                </c:pt>
                <c:pt idx="18">
                  <c:v>1.2473359959425918</c:v>
                </c:pt>
                <c:pt idx="19">
                  <c:v>2.0349977571536066</c:v>
                </c:pt>
                <c:pt idx="20">
                  <c:v>3.1852103810807928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7-48FB-BBDE-93428472106F}"/>
            </c:ext>
          </c:extLst>
        </c:ser>
        <c:ser>
          <c:idx val="1"/>
          <c:order val="1"/>
          <c:tx>
            <c:strRef>
              <c:f>'cause pop. femminile'!$AC$3</c:f>
              <c:strCache>
                <c:ptCount val="1"/>
                <c:pt idx="0">
                  <c:v>COVID-19 - Virus identificato</c:v>
                </c:pt>
              </c:strCache>
            </c:strRef>
          </c:tx>
          <c:spPr>
            <a:ln w="44450" cap="rnd">
              <a:solidFill>
                <a:schemeClr val="accent2">
                  <a:alpha val="98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femminile'!$AC$4:$AC$24</c:f>
              <c:numCache>
                <c:formatCode>0</c:formatCode>
                <c:ptCount val="21"/>
                <c:pt idx="0" formatCode="0.00000">
                  <c:v>1.7585406457361251E-2</c:v>
                </c:pt>
                <c:pt idx="1">
                  <c:v>0</c:v>
                </c:pt>
                <c:pt idx="2">
                  <c:v>0</c:v>
                </c:pt>
                <c:pt idx="3" formatCode="0.00000">
                  <c:v>1.6296864991174323E-3</c:v>
                </c:pt>
                <c:pt idx="4" formatCode="0.00000">
                  <c:v>2.5660785038411913E-3</c:v>
                </c:pt>
                <c:pt idx="5" formatCode="0.00000">
                  <c:v>5.1885644156822166E-3</c:v>
                </c:pt>
                <c:pt idx="6" formatCode="0.00000">
                  <c:v>1.0377350650392525E-2</c:v>
                </c:pt>
                <c:pt idx="7" formatCode="0.00000">
                  <c:v>1.5921067821800101E-2</c:v>
                </c:pt>
                <c:pt idx="8" formatCode="0.00000">
                  <c:v>2.0143035246119521E-2</c:v>
                </c:pt>
                <c:pt idx="9" formatCode="0.00000">
                  <c:v>2.5658414474576827E-2</c:v>
                </c:pt>
                <c:pt idx="10" formatCode="0.00000">
                  <c:v>6.0948861440383487E-2</c:v>
                </c:pt>
                <c:pt idx="11" formatCode="0.00000">
                  <c:v>0.10025755260222326</c:v>
                </c:pt>
                <c:pt idx="12" formatCode="0.00000">
                  <c:v>0.21502219661704669</c:v>
                </c:pt>
                <c:pt idx="13" formatCode="0.00000">
                  <c:v>0.36733534395167661</c:v>
                </c:pt>
                <c:pt idx="14" formatCode="0.00000">
                  <c:v>0.66726806070153155</c:v>
                </c:pt>
                <c:pt idx="15" formatCode="0.00000">
                  <c:v>1.3092738609745087</c:v>
                </c:pt>
                <c:pt idx="16" formatCode="0.00000">
                  <c:v>2.6814587901256188</c:v>
                </c:pt>
                <c:pt idx="17" formatCode="0.00000">
                  <c:v>5.7233690674036177</c:v>
                </c:pt>
                <c:pt idx="18" formatCode="0.00000">
                  <c:v>11.580147237363098</c:v>
                </c:pt>
                <c:pt idx="19" formatCode="0.00000">
                  <c:v>21.081662158377814</c:v>
                </c:pt>
                <c:pt idx="20" formatCode="0.00000">
                  <c:v>34.013869544852923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7-48FB-BBDE-93428472106F}"/>
            </c:ext>
          </c:extLst>
        </c:ser>
        <c:ser>
          <c:idx val="2"/>
          <c:order val="2"/>
          <c:tx>
            <c:strRef>
              <c:f>'cause pop. femminile'!$AD$3</c:f>
              <c:strCache>
                <c:ptCount val="1"/>
                <c:pt idx="0">
                  <c:v>COVID-19 - Virus non identificato - Sospetto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femminile'!$AD$4:$AD$24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000">
                  <c:v>8.5535950128039716E-4</c:v>
                </c:pt>
                <c:pt idx="5" formatCode="0.00000">
                  <c:v>8.6476073594703618E-4</c:v>
                </c:pt>
                <c:pt idx="6" formatCode="0.00000">
                  <c:v>1.596515484675773E-3</c:v>
                </c:pt>
                <c:pt idx="7" formatCode="0.00000">
                  <c:v>2.8947396039636546E-3</c:v>
                </c:pt>
                <c:pt idx="8" formatCode="0.00000">
                  <c:v>1.8311850223745019E-3</c:v>
                </c:pt>
                <c:pt idx="9" formatCode="0.00000">
                  <c:v>3.592178026440756E-3</c:v>
                </c:pt>
                <c:pt idx="10" formatCode="0.00000">
                  <c:v>7.2312208488590577E-3</c:v>
                </c:pt>
                <c:pt idx="11" formatCode="0.00000">
                  <c:v>1.6257981503063231E-2</c:v>
                </c:pt>
                <c:pt idx="12" formatCode="0.00000">
                  <c:v>3.0137882005623794E-2</c:v>
                </c:pt>
                <c:pt idx="13" formatCode="0.00000">
                  <c:v>5.1728150039540906E-2</c:v>
                </c:pt>
                <c:pt idx="14" formatCode="0.00000">
                  <c:v>8.3117208958165156E-2</c:v>
                </c:pt>
                <c:pt idx="15" formatCode="0.00000">
                  <c:v>0.20955087403561279</c:v>
                </c:pt>
                <c:pt idx="16" formatCode="0.00000">
                  <c:v>0.47146528178032859</c:v>
                </c:pt>
                <c:pt idx="17" formatCode="0.00000">
                  <c:v>1.4135953621106048</c:v>
                </c:pt>
                <c:pt idx="18" formatCode="0.00000">
                  <c:v>3.5254236640709502</c:v>
                </c:pt>
                <c:pt idx="19" formatCode="0.00000">
                  <c:v>7.5748953432411135</c:v>
                </c:pt>
                <c:pt idx="20" formatCode="0.00000">
                  <c:v>14.756400880220196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D7-48FB-BBDE-93428472106F}"/>
            </c:ext>
          </c:extLst>
        </c:ser>
        <c:ser>
          <c:idx val="3"/>
          <c:order val="3"/>
          <c:tx>
            <c:strRef>
              <c:f>'cause pop. femminile'!$AE$3</c:f>
              <c:strCache>
                <c:ptCount val="1"/>
                <c:pt idx="0">
                  <c:v>tumori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femminile'!$AE$4:$AE$24</c:f>
              <c:numCache>
                <c:formatCode>0.00000</c:formatCode>
                <c:ptCount val="21"/>
                <c:pt idx="0">
                  <c:v>1.7585406457361251E-2</c:v>
                </c:pt>
                <c:pt idx="1">
                  <c:v>2.2899195800287986E-2</c:v>
                </c:pt>
                <c:pt idx="2">
                  <c:v>2.7670302449420238E-2</c:v>
                </c:pt>
                <c:pt idx="3">
                  <c:v>2.0371081238967904E-2</c:v>
                </c:pt>
                <c:pt idx="4">
                  <c:v>3.6780458555057079E-2</c:v>
                </c:pt>
                <c:pt idx="5">
                  <c:v>3.4590429437881445E-2</c:v>
                </c:pt>
                <c:pt idx="6">
                  <c:v>4.2307660343907982E-2</c:v>
                </c:pt>
                <c:pt idx="7">
                  <c:v>0.10710536534665523</c:v>
                </c:pt>
                <c:pt idx="8">
                  <c:v>0.17518336714049401</c:v>
                </c:pt>
                <c:pt idx="9">
                  <c:v>0.32637503211661723</c:v>
                </c:pt>
                <c:pt idx="10">
                  <c:v>0.57643160480905065</c:v>
                </c:pt>
                <c:pt idx="11">
                  <c:v>1.0182915748085271</c:v>
                </c:pt>
                <c:pt idx="12">
                  <c:v>1.6859826683530696</c:v>
                </c:pt>
                <c:pt idx="13">
                  <c:v>2.4606884537796803</c:v>
                </c:pt>
                <c:pt idx="14">
                  <c:v>3.2050617211344807</c:v>
                </c:pt>
                <c:pt idx="15">
                  <c:v>4.1608421548511272</c:v>
                </c:pt>
                <c:pt idx="16">
                  <c:v>5.6189720005284851</c:v>
                </c:pt>
                <c:pt idx="17">
                  <c:v>8.4282043919577951</c:v>
                </c:pt>
                <c:pt idx="18">
                  <c:v>11.679744408141785</c:v>
                </c:pt>
                <c:pt idx="19">
                  <c:v>14.728418759238542</c:v>
                </c:pt>
                <c:pt idx="20">
                  <c:v>16.24979459987447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D7-48FB-BBDE-93428472106F}"/>
            </c:ext>
          </c:extLst>
        </c:ser>
        <c:ser>
          <c:idx val="4"/>
          <c:order val="4"/>
          <c:tx>
            <c:strRef>
              <c:f>'cause pop. femminile'!$AF$3</c:f>
              <c:strCache>
                <c:ptCount val="1"/>
                <c:pt idx="0">
                  <c:v>malattie del sangue e degli organi ematopoietici ed alcuni disturbi del sistema immunitario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femminile'!$AF$4:$AF$24</c:f>
              <c:numCache>
                <c:formatCode>0.00000</c:formatCode>
                <c:ptCount val="21"/>
                <c:pt idx="0">
                  <c:v>5.8618021524537503E-3</c:v>
                </c:pt>
                <c:pt idx="1">
                  <c:v>2.5443550889208875E-3</c:v>
                </c:pt>
                <c:pt idx="2">
                  <c:v>1.7851808031884024E-3</c:v>
                </c:pt>
                <c:pt idx="3" formatCode="0">
                  <c:v>0</c:v>
                </c:pt>
                <c:pt idx="4">
                  <c:v>8.5535950128039716E-4</c:v>
                </c:pt>
                <c:pt idx="5">
                  <c:v>8.6476073594703618E-4</c:v>
                </c:pt>
                <c:pt idx="6">
                  <c:v>7.982577423378865E-4</c:v>
                </c:pt>
                <c:pt idx="7">
                  <c:v>2.1710547029727412E-3</c:v>
                </c:pt>
                <c:pt idx="8">
                  <c:v>2.4415800298326694E-3</c:v>
                </c:pt>
                <c:pt idx="9">
                  <c:v>3.0790097369492193E-3</c:v>
                </c:pt>
                <c:pt idx="10">
                  <c:v>5.6816735241035452E-3</c:v>
                </c:pt>
                <c:pt idx="11">
                  <c:v>7.0451253179940661E-3</c:v>
                </c:pt>
                <c:pt idx="12">
                  <c:v>1.1591493079086074E-2</c:v>
                </c:pt>
                <c:pt idx="13">
                  <c:v>1.5714881024670654E-2</c:v>
                </c:pt>
                <c:pt idx="14">
                  <c:v>3.1071853816136509E-2</c:v>
                </c:pt>
                <c:pt idx="15">
                  <c:v>3.0175325861128241E-2</c:v>
                </c:pt>
                <c:pt idx="16">
                  <c:v>8.9415829303165772E-2</c:v>
                </c:pt>
                <c:pt idx="17">
                  <c:v>0.19524797819207249</c:v>
                </c:pt>
                <c:pt idx="18">
                  <c:v>0.4473968147677484</c:v>
                </c:pt>
                <c:pt idx="19">
                  <c:v>0.91460573355218278</c:v>
                </c:pt>
                <c:pt idx="20">
                  <c:v>2.3079721121929677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D7-48FB-BBDE-93428472106F}"/>
            </c:ext>
          </c:extLst>
        </c:ser>
        <c:ser>
          <c:idx val="5"/>
          <c:order val="5"/>
          <c:tx>
            <c:strRef>
              <c:f>'cause pop. femminile'!$AG$3</c:f>
              <c:strCache>
                <c:ptCount val="1"/>
                <c:pt idx="0">
                  <c:v>malattie endocrine, nutrizionali e metaboliche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femminile'!$AG$4:$AG$24</c:f>
              <c:numCache>
                <c:formatCode>0.00000</c:formatCode>
                <c:ptCount val="21"/>
                <c:pt idx="0">
                  <c:v>2.9309010762268752E-2</c:v>
                </c:pt>
                <c:pt idx="1">
                  <c:v>1.017742035568355E-2</c:v>
                </c:pt>
                <c:pt idx="2">
                  <c:v>4.4629520079710059E-3</c:v>
                </c:pt>
                <c:pt idx="3">
                  <c:v>2.4445297486761484E-3</c:v>
                </c:pt>
                <c:pt idx="4">
                  <c:v>8.5535950128039716E-4</c:v>
                </c:pt>
                <c:pt idx="5">
                  <c:v>5.1885644156822166E-3</c:v>
                </c:pt>
                <c:pt idx="6">
                  <c:v>4.7895464540273188E-3</c:v>
                </c:pt>
                <c:pt idx="7">
                  <c:v>2.1710547029727412E-3</c:v>
                </c:pt>
                <c:pt idx="8">
                  <c:v>7.9351350969561751E-3</c:v>
                </c:pt>
                <c:pt idx="9">
                  <c:v>8.7238609213561216E-3</c:v>
                </c:pt>
                <c:pt idx="10">
                  <c:v>2.0144115221821662E-2</c:v>
                </c:pt>
                <c:pt idx="11">
                  <c:v>2.4386972254594845E-2</c:v>
                </c:pt>
                <c:pt idx="12">
                  <c:v>5.3320868163795943E-2</c:v>
                </c:pt>
                <c:pt idx="13">
                  <c:v>9.8872793113552876E-2</c:v>
                </c:pt>
                <c:pt idx="14">
                  <c:v>0.1592432508076996</c:v>
                </c:pt>
                <c:pt idx="15">
                  <c:v>0.3361196019531229</c:v>
                </c:pt>
                <c:pt idx="16">
                  <c:v>0.69195658813018057</c:v>
                </c:pt>
                <c:pt idx="17">
                  <c:v>1.7403103122853394</c:v>
                </c:pt>
                <c:pt idx="18">
                  <c:v>3.6866762262840611</c:v>
                </c:pt>
                <c:pt idx="19">
                  <c:v>6.7713488773345532</c:v>
                </c:pt>
                <c:pt idx="20">
                  <c:v>11.821830004535926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D7-48FB-BBDE-93428472106F}"/>
            </c:ext>
          </c:extLst>
        </c:ser>
        <c:ser>
          <c:idx val="6"/>
          <c:order val="6"/>
          <c:tx>
            <c:strRef>
              <c:f>'cause pop. femminile'!$AH$3</c:f>
              <c:strCache>
                <c:ptCount val="1"/>
                <c:pt idx="0">
                  <c:v>disturbi psichici e comportamentali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femminile'!$AH$4:$AH$24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000">
                  <c:v>8.5535950128039716E-4</c:v>
                </c:pt>
                <c:pt idx="5" formatCode="0.00000">
                  <c:v>1.7295214718940724E-3</c:v>
                </c:pt>
                <c:pt idx="6">
                  <c:v>0</c:v>
                </c:pt>
                <c:pt idx="7" formatCode="0.00000">
                  <c:v>7.2368490099091365E-4</c:v>
                </c:pt>
                <c:pt idx="8" formatCode="0.00000">
                  <c:v>4.2727650522071713E-3</c:v>
                </c:pt>
                <c:pt idx="9" formatCode="0.00000">
                  <c:v>3.0790097369492193E-3</c:v>
                </c:pt>
                <c:pt idx="10" formatCode="0.00000">
                  <c:v>4.6486419742665375E-3</c:v>
                </c:pt>
                <c:pt idx="11" formatCode="0.00000">
                  <c:v>9.754788901837938E-3</c:v>
                </c:pt>
                <c:pt idx="12" formatCode="0.00000">
                  <c:v>1.2171067733040379E-2</c:v>
                </c:pt>
                <c:pt idx="13" formatCode="0.00000">
                  <c:v>2.7501041793173649E-2</c:v>
                </c:pt>
                <c:pt idx="14" formatCode="0.00000">
                  <c:v>8.3117208958165156E-2</c:v>
                </c:pt>
                <c:pt idx="15" formatCode="0.00000">
                  <c:v>0.24475542087359572</c:v>
                </c:pt>
                <c:pt idx="16" formatCode="0.00000">
                  <c:v>0.67671525358986828</c:v>
                </c:pt>
                <c:pt idx="17" formatCode="0.00000">
                  <c:v>2.2974178767267195</c:v>
                </c:pt>
                <c:pt idx="18" formatCode="0.00000">
                  <c:v>6.0185147484834562</c:v>
                </c:pt>
                <c:pt idx="19" formatCode="0.00000">
                  <c:v>15.31637958795066</c:v>
                </c:pt>
                <c:pt idx="20" formatCode="0.00000">
                  <c:v>32.520475825198652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D7-48FB-BBDE-93428472106F}"/>
            </c:ext>
          </c:extLst>
        </c:ser>
        <c:ser>
          <c:idx val="7"/>
          <c:order val="7"/>
          <c:tx>
            <c:strRef>
              <c:f>'cause pop. femminile'!$AI$3</c:f>
              <c:strCache>
                <c:ptCount val="1"/>
                <c:pt idx="0">
                  <c:v>malattie del sistema nervoso e degli organi di senso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femminile'!$AI$4:$AI$24</c:f>
              <c:numCache>
                <c:formatCode>0.00000</c:formatCode>
                <c:ptCount val="21"/>
                <c:pt idx="0">
                  <c:v>4.1032615067176252E-2</c:v>
                </c:pt>
                <c:pt idx="1">
                  <c:v>1.2721775444604436E-2</c:v>
                </c:pt>
                <c:pt idx="2">
                  <c:v>1.0711084819130415E-2</c:v>
                </c:pt>
                <c:pt idx="3">
                  <c:v>8.1484324955871604E-3</c:v>
                </c:pt>
                <c:pt idx="4">
                  <c:v>1.1119673516645162E-2</c:v>
                </c:pt>
                <c:pt idx="5">
                  <c:v>7.7828466235233254E-3</c:v>
                </c:pt>
                <c:pt idx="6">
                  <c:v>1.1973866135068298E-2</c:v>
                </c:pt>
                <c:pt idx="7">
                  <c:v>1.7368437623781929E-2</c:v>
                </c:pt>
                <c:pt idx="8">
                  <c:v>1.5259875186454183E-2</c:v>
                </c:pt>
                <c:pt idx="9">
                  <c:v>2.2579404737627609E-2</c:v>
                </c:pt>
                <c:pt idx="10">
                  <c:v>3.3573525369702768E-2</c:v>
                </c:pt>
                <c:pt idx="11">
                  <c:v>6.9909320463171887E-2</c:v>
                </c:pt>
                <c:pt idx="12">
                  <c:v>0.10548258701968329</c:v>
                </c:pt>
                <c:pt idx="13">
                  <c:v>0.19840037293646703</c:v>
                </c:pt>
                <c:pt idx="14">
                  <c:v>0.35111194812234253</c:v>
                </c:pt>
                <c:pt idx="15">
                  <c:v>0.66134255845639389</c:v>
                </c:pt>
                <c:pt idx="16">
                  <c:v>1.6521606641698585</c:v>
                </c:pt>
                <c:pt idx="17">
                  <c:v>3.750062834475739</c:v>
                </c:pt>
                <c:pt idx="18">
                  <c:v>7.676886687322213</c:v>
                </c:pt>
                <c:pt idx="19">
                  <c:v>12.81427961687576</c:v>
                </c:pt>
                <c:pt idx="20">
                  <c:v>16.134918159901066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D7-48FB-BBDE-93428472106F}"/>
            </c:ext>
          </c:extLst>
        </c:ser>
        <c:ser>
          <c:idx val="8"/>
          <c:order val="8"/>
          <c:tx>
            <c:strRef>
              <c:f>'cause pop. femminile'!$AJ$3</c:f>
              <c:strCache>
                <c:ptCount val="1"/>
                <c:pt idx="0">
                  <c:v>malattie del sistema circolatorio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femminile'!$AJ$4:$AJ$24</c:f>
              <c:numCache>
                <c:formatCode>0.00000</c:formatCode>
                <c:ptCount val="21"/>
                <c:pt idx="0">
                  <c:v>6.447982367699126E-2</c:v>
                </c:pt>
                <c:pt idx="1">
                  <c:v>1.2721775444604437E-3</c:v>
                </c:pt>
                <c:pt idx="2">
                  <c:v>2.6777712047826039E-3</c:v>
                </c:pt>
                <c:pt idx="3">
                  <c:v>2.4445297486761484E-3</c:v>
                </c:pt>
                <c:pt idx="4">
                  <c:v>1.0264314015364765E-2</c:v>
                </c:pt>
                <c:pt idx="5">
                  <c:v>6.9180858875762894E-3</c:v>
                </c:pt>
                <c:pt idx="6">
                  <c:v>2.1552959043122936E-2</c:v>
                </c:pt>
                <c:pt idx="7">
                  <c:v>2.3157916831709237E-2</c:v>
                </c:pt>
                <c:pt idx="8">
                  <c:v>5.1273180626486059E-2</c:v>
                </c:pt>
                <c:pt idx="9">
                  <c:v>7.8514748292205089E-2</c:v>
                </c:pt>
                <c:pt idx="10">
                  <c:v>0.14359138542734415</c:v>
                </c:pt>
                <c:pt idx="11">
                  <c:v>0.22706980832611645</c:v>
                </c:pt>
                <c:pt idx="12">
                  <c:v>0.38020097299402322</c:v>
                </c:pt>
                <c:pt idx="13">
                  <c:v>0.67181116380467054</c:v>
                </c:pt>
                <c:pt idx="14">
                  <c:v>1.0657645858934823</c:v>
                </c:pt>
                <c:pt idx="15">
                  <c:v>2.1055671823098372</c:v>
                </c:pt>
                <c:pt idx="16">
                  <c:v>4.5154993798098717</c:v>
                </c:pt>
                <c:pt idx="17">
                  <c:v>11.5092174878287</c:v>
                </c:pt>
                <c:pt idx="18">
                  <c:v>26.279424918319016</c:v>
                </c:pt>
                <c:pt idx="19">
                  <c:v>56.0457327724584</c:v>
                </c:pt>
                <c:pt idx="20">
                  <c:v>106.97085224069036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FD7-48FB-BBDE-93428472106F}"/>
            </c:ext>
          </c:extLst>
        </c:ser>
        <c:ser>
          <c:idx val="9"/>
          <c:order val="9"/>
          <c:tx>
            <c:strRef>
              <c:f>'cause pop. femminile'!$AK$3</c:f>
              <c:strCache>
                <c:ptCount val="1"/>
                <c:pt idx="0">
                  <c:v>malattie del sistema respiratorio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femminile'!$AK$4:$AK$24</c:f>
              <c:numCache>
                <c:formatCode>0.00000</c:formatCode>
                <c:ptCount val="21"/>
                <c:pt idx="0">
                  <c:v>1.1723604304907501E-2</c:v>
                </c:pt>
                <c:pt idx="1">
                  <c:v>6.360887722302218E-3</c:v>
                </c:pt>
                <c:pt idx="2">
                  <c:v>1.7851808031884024E-3</c:v>
                </c:pt>
                <c:pt idx="3">
                  <c:v>3.2593729982348645E-3</c:v>
                </c:pt>
                <c:pt idx="4">
                  <c:v>3.4214380051215887E-3</c:v>
                </c:pt>
                <c:pt idx="5">
                  <c:v>6.9180858875762894E-3</c:v>
                </c:pt>
                <c:pt idx="6">
                  <c:v>5.5878041963652054E-3</c:v>
                </c:pt>
                <c:pt idx="7">
                  <c:v>1.2302643316845533E-2</c:v>
                </c:pt>
                <c:pt idx="8">
                  <c:v>1.8922245231203186E-2</c:v>
                </c:pt>
                <c:pt idx="9">
                  <c:v>2.0013563290169924E-2</c:v>
                </c:pt>
                <c:pt idx="10">
                  <c:v>4.0804746218561824E-2</c:v>
                </c:pt>
                <c:pt idx="11">
                  <c:v>7.8038311214703504E-2</c:v>
                </c:pt>
                <c:pt idx="12">
                  <c:v>0.13156344644762694</c:v>
                </c:pt>
                <c:pt idx="13">
                  <c:v>0.21018653370497004</c:v>
                </c:pt>
                <c:pt idx="14">
                  <c:v>0.41247885940921214</c:v>
                </c:pt>
                <c:pt idx="15">
                  <c:v>0.685650459844525</c:v>
                </c:pt>
                <c:pt idx="16">
                  <c:v>1.3056743256200911</c:v>
                </c:pt>
                <c:pt idx="17">
                  <c:v>3.4389677225563697</c:v>
                </c:pt>
                <c:pt idx="18">
                  <c:v>7.4840159756555504</c:v>
                </c:pt>
                <c:pt idx="19">
                  <c:v>15.731218617097543</c:v>
                </c:pt>
                <c:pt idx="20">
                  <c:v>29.993194145783725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FD7-48FB-BBDE-93428472106F}"/>
            </c:ext>
          </c:extLst>
        </c:ser>
        <c:ser>
          <c:idx val="10"/>
          <c:order val="10"/>
          <c:tx>
            <c:strRef>
              <c:f>'cause pop. femminile'!$AL$3</c:f>
              <c:strCache>
                <c:ptCount val="1"/>
                <c:pt idx="0">
                  <c:v>malattie dell'apparato digerente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femminile'!$AL$4:$AL$24</c:f>
              <c:numCache>
                <c:formatCode>0.00000</c:formatCode>
                <c:ptCount val="21"/>
                <c:pt idx="0">
                  <c:v>2.9309010762268752E-2</c:v>
                </c:pt>
                <c:pt idx="1">
                  <c:v>2.5443550889208875E-3</c:v>
                </c:pt>
                <c:pt idx="2">
                  <c:v>8.9259040159420122E-4</c:v>
                </c:pt>
                <c:pt idx="3">
                  <c:v>1.6296864991174323E-3</c:v>
                </c:pt>
                <c:pt idx="4">
                  <c:v>3.4214380051215887E-3</c:v>
                </c:pt>
                <c:pt idx="5">
                  <c:v>3.4590429437881447E-3</c:v>
                </c:pt>
                <c:pt idx="6">
                  <c:v>7.1843196810409786E-3</c:v>
                </c:pt>
                <c:pt idx="7">
                  <c:v>8.6842188118909647E-3</c:v>
                </c:pt>
                <c:pt idx="8">
                  <c:v>1.0987110134247012E-2</c:v>
                </c:pt>
                <c:pt idx="9">
                  <c:v>3.2842770527458341E-2</c:v>
                </c:pt>
                <c:pt idx="10">
                  <c:v>4.5969903967746868E-2</c:v>
                </c:pt>
                <c:pt idx="11">
                  <c:v>9.4838225434535503E-2</c:v>
                </c:pt>
                <c:pt idx="12">
                  <c:v>0.15416685795184479</c:v>
                </c:pt>
                <c:pt idx="13">
                  <c:v>0.2167344007985828</c:v>
                </c:pt>
                <c:pt idx="14">
                  <c:v>0.3037273710527344</c:v>
                </c:pt>
                <c:pt idx="15">
                  <c:v>0.49286365573176127</c:v>
                </c:pt>
                <c:pt idx="16">
                  <c:v>0.97646149954934436</c:v>
                </c:pt>
                <c:pt idx="17">
                  <c:v>2.0370872391372896</c:v>
                </c:pt>
                <c:pt idx="18">
                  <c:v>4.099293076652903</c:v>
                </c:pt>
                <c:pt idx="19">
                  <c:v>7.4148393398694816</c:v>
                </c:pt>
                <c:pt idx="20">
                  <c:v>11.247447804668898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D7-48FB-BBDE-93428472106F}"/>
            </c:ext>
          </c:extLst>
        </c:ser>
        <c:ser>
          <c:idx val="11"/>
          <c:order val="11"/>
          <c:tx>
            <c:strRef>
              <c:f>'cause pop. femminile'!$AM$3</c:f>
              <c:strCache>
                <c:ptCount val="1"/>
                <c:pt idx="0">
                  <c:v>malattie della cute e del tessuto sottocutaneo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femminile'!$AM$4:$AM$24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0.00000">
                  <c:v>1.0263365789830732E-3</c:v>
                </c:pt>
                <c:pt idx="10" formatCode="0.00000">
                  <c:v>1.0330315498370082E-3</c:v>
                </c:pt>
                <c:pt idx="11" formatCode="0.00000">
                  <c:v>1.6257981503063231E-3</c:v>
                </c:pt>
                <c:pt idx="12" formatCode="0.00000">
                  <c:v>2.3182986158172148E-3</c:v>
                </c:pt>
                <c:pt idx="13" formatCode="0.00000">
                  <c:v>5.8930803842514963E-3</c:v>
                </c:pt>
                <c:pt idx="14" formatCode="0.00000">
                  <c:v>1.4759130562664842E-2</c:v>
                </c:pt>
                <c:pt idx="15" formatCode="0.00000">
                  <c:v>3.0175325861128241E-2</c:v>
                </c:pt>
                <c:pt idx="16" formatCode="0.00000">
                  <c:v>0.1026249859047698</c:v>
                </c:pt>
                <c:pt idx="17" formatCode="0.00000">
                  <c:v>0.24080583977022271</c:v>
                </c:pt>
                <c:pt idx="18" formatCode="0.00000">
                  <c:v>0.50430948378414042</c:v>
                </c:pt>
                <c:pt idx="19" formatCode="0.00000">
                  <c:v>1.1824545555210362</c:v>
                </c:pt>
                <c:pt idx="20" formatCode="0.00000">
                  <c:v>2.2244256103941273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FD7-48FB-BBDE-93428472106F}"/>
            </c:ext>
          </c:extLst>
        </c:ser>
        <c:ser>
          <c:idx val="12"/>
          <c:order val="12"/>
          <c:tx>
            <c:strRef>
              <c:f>'cause pop. femminile'!$AN$3</c:f>
              <c:strCache>
                <c:ptCount val="1"/>
                <c:pt idx="0">
                  <c:v>malattie del sistema osteomuscolare e del tessuto connettivo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femminile'!$AN$4:$AN$24</c:f>
              <c:numCache>
                <c:formatCode>0</c:formatCode>
                <c:ptCount val="21"/>
                <c:pt idx="0" formatCode="0.00000">
                  <c:v>5.8618021524537503E-3</c:v>
                </c:pt>
                <c:pt idx="1">
                  <c:v>0</c:v>
                </c:pt>
                <c:pt idx="2">
                  <c:v>0</c:v>
                </c:pt>
                <c:pt idx="3" formatCode="0.00000">
                  <c:v>8.1484324955871613E-4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0.00000">
                  <c:v>7.2368490099091365E-4</c:v>
                </c:pt>
                <c:pt idx="8" formatCode="0.00000">
                  <c:v>2.4415800298326694E-3</c:v>
                </c:pt>
                <c:pt idx="9" formatCode="0.00000">
                  <c:v>4.1053463159322926E-3</c:v>
                </c:pt>
                <c:pt idx="10" formatCode="0.00000">
                  <c:v>4.1321261993480327E-3</c:v>
                </c:pt>
                <c:pt idx="11" formatCode="0.00000">
                  <c:v>1.3006385202450585E-2</c:v>
                </c:pt>
                <c:pt idx="12" formatCode="0.00000">
                  <c:v>2.0285112888400632E-2</c:v>
                </c:pt>
                <c:pt idx="13" formatCode="0.00000">
                  <c:v>2.3572321537005985E-2</c:v>
                </c:pt>
                <c:pt idx="14" formatCode="0.00000">
                  <c:v>5.2822151487432065E-2</c:v>
                </c:pt>
                <c:pt idx="15" formatCode="0.00000">
                  <c:v>8.0467535629675305E-2</c:v>
                </c:pt>
                <c:pt idx="16" formatCode="0.00000">
                  <c:v>0.22455566222726858</c:v>
                </c:pt>
                <c:pt idx="17" formatCode="0.00000">
                  <c:v>0.61438030471105476</c:v>
                </c:pt>
                <c:pt idx="18" formatCode="0.00000">
                  <c:v>1.3753895012294739</c:v>
                </c:pt>
                <c:pt idx="19" formatCode="0.00000">
                  <c:v>3.2370510069650469</c:v>
                </c:pt>
                <c:pt idx="20" formatCode="0.00000">
                  <c:v>6.8925863984043385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FD7-48FB-BBDE-93428472106F}"/>
            </c:ext>
          </c:extLst>
        </c:ser>
        <c:ser>
          <c:idx val="13"/>
          <c:order val="13"/>
          <c:tx>
            <c:strRef>
              <c:f>'cause pop. femminile'!$AO$3</c:f>
              <c:strCache>
                <c:ptCount val="1"/>
                <c:pt idx="0">
                  <c:v>malattie dell'apparato genitourinario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femminile'!$AO$4:$AO$24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 formatCode="0.00000">
                  <c:v>8.9259040159420122E-4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0.00000">
                  <c:v>7.982577423378865E-4</c:v>
                </c:pt>
                <c:pt idx="7" formatCode="0.00000">
                  <c:v>2.1710547029727412E-3</c:v>
                </c:pt>
                <c:pt idx="8" formatCode="0.00000">
                  <c:v>2.4415800298326694E-3</c:v>
                </c:pt>
                <c:pt idx="9" formatCode="0.00000">
                  <c:v>3.0790097369492193E-3</c:v>
                </c:pt>
                <c:pt idx="10" formatCode="0.00000">
                  <c:v>1.2912894372962603E-2</c:v>
                </c:pt>
                <c:pt idx="11" formatCode="0.00000">
                  <c:v>1.7883779653369552E-2</c:v>
                </c:pt>
                <c:pt idx="12" formatCode="0.00000">
                  <c:v>2.6660434081897971E-2</c:v>
                </c:pt>
                <c:pt idx="13" formatCode="0.00000">
                  <c:v>4.3215922817844303E-2</c:v>
                </c:pt>
                <c:pt idx="14" formatCode="0.00000">
                  <c:v>9.4769154139216355E-2</c:v>
                </c:pt>
                <c:pt idx="15" formatCode="0.00000">
                  <c:v>0.24056440339288346</c:v>
                </c:pt>
                <c:pt idx="16" formatCode="0.00000">
                  <c:v>0.59847640294959814</c:v>
                </c:pt>
                <c:pt idx="17" formatCode="0.00000">
                  <c:v>1.6856408783915591</c:v>
                </c:pt>
                <c:pt idx="18" formatCode="0.00000">
                  <c:v>3.9427832368578248</c:v>
                </c:pt>
                <c:pt idx="19" formatCode="0.00000">
                  <c:v>8.4045734015348792</c:v>
                </c:pt>
                <c:pt idx="20" formatCode="0.00000">
                  <c:v>15.685855712732296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FD7-48FB-BBDE-93428472106F}"/>
            </c:ext>
          </c:extLst>
        </c:ser>
        <c:ser>
          <c:idx val="14"/>
          <c:order val="14"/>
          <c:tx>
            <c:strRef>
              <c:f>'cause pop. femminile'!$AP$3</c:f>
              <c:strCache>
                <c:ptCount val="1"/>
                <c:pt idx="0">
                  <c:v>complicazioni della gravidanza, del parto e del puerperio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femminile'!$AP$4:$AP$24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0000">
                  <c:v>8.6476073594703618E-4</c:v>
                </c:pt>
                <c:pt idx="6" formatCode="0.00000">
                  <c:v>7.982577423378865E-4</c:v>
                </c:pt>
                <c:pt idx="7" formatCode="0.00000">
                  <c:v>1.4473698019818273E-3</c:v>
                </c:pt>
                <c:pt idx="8" formatCode="0.00000">
                  <c:v>2.4415800298326694E-3</c:v>
                </c:pt>
                <c:pt idx="9" formatCode="0.00000">
                  <c:v>1.0263365789830732E-3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FD7-48FB-BBDE-93428472106F}"/>
            </c:ext>
          </c:extLst>
        </c:ser>
        <c:ser>
          <c:idx val="15"/>
          <c:order val="15"/>
          <c:tx>
            <c:strRef>
              <c:f>'cause pop. femminile'!$AQ$3</c:f>
              <c:strCache>
                <c:ptCount val="1"/>
                <c:pt idx="0">
                  <c:v>alcune condizioni morbose che hanno origine nel periodo perinatale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femminile'!$AQ$4:$AQ$24</c:f>
              <c:numCache>
                <c:formatCode>0.00000</c:formatCode>
                <c:ptCount val="21"/>
                <c:pt idx="0">
                  <c:v>1.2778728692349175</c:v>
                </c:pt>
                <c:pt idx="1">
                  <c:v>1.2721775444604437E-3</c:v>
                </c:pt>
                <c:pt idx="2">
                  <c:v>8.9259040159420122E-4</c:v>
                </c:pt>
                <c:pt idx="3" formatCode="0">
                  <c:v>0</c:v>
                </c:pt>
                <c:pt idx="4">
                  <c:v>8.5535950128039716E-4</c:v>
                </c:pt>
                <c:pt idx="5">
                  <c:v>1.7295214718940724E-3</c:v>
                </c:pt>
                <c:pt idx="6" formatCode="0">
                  <c:v>0</c:v>
                </c:pt>
                <c:pt idx="7">
                  <c:v>1.4473698019818273E-3</c:v>
                </c:pt>
                <c:pt idx="8">
                  <c:v>1.2207900149163347E-3</c:v>
                </c:pt>
                <c:pt idx="9">
                  <c:v>5.1316828949153658E-4</c:v>
                </c:pt>
                <c:pt idx="10">
                  <c:v>1.0330315498370082E-3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>
                  <c:v>7.7679634540341275E-4</c:v>
                </c:pt>
                <c:pt idx="15" formatCode="0">
                  <c:v>0</c:v>
                </c:pt>
                <c:pt idx="16" formatCode="0">
                  <c:v>0</c:v>
                </c:pt>
                <c:pt idx="17" formatCode="0">
                  <c:v>0</c:v>
                </c:pt>
                <c:pt idx="18" formatCode="0">
                  <c:v>0</c:v>
                </c:pt>
                <c:pt idx="19" formatCode="0">
                  <c:v>0</c:v>
                </c:pt>
                <c:pt idx="20">
                  <c:v>1.0443312724855058E-2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FD7-48FB-BBDE-93428472106F}"/>
            </c:ext>
          </c:extLst>
        </c:ser>
        <c:ser>
          <c:idx val="16"/>
          <c:order val="16"/>
          <c:tx>
            <c:strRef>
              <c:f>'cause pop. femminile'!$AR$3</c:f>
              <c:strCache>
                <c:ptCount val="1"/>
                <c:pt idx="0">
                  <c:v>malformazioni congenite ed anomalie cromosomiche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femminile'!$AR$4:$AR$24</c:f>
              <c:numCache>
                <c:formatCode>0.00000</c:formatCode>
                <c:ptCount val="21"/>
                <c:pt idx="0">
                  <c:v>0.48652957865366125</c:v>
                </c:pt>
                <c:pt idx="1">
                  <c:v>6.360887722302218E-3</c:v>
                </c:pt>
                <c:pt idx="2">
                  <c:v>1.7851808031884024E-3</c:v>
                </c:pt>
                <c:pt idx="3">
                  <c:v>5.7039027469110125E-3</c:v>
                </c:pt>
                <c:pt idx="4">
                  <c:v>6.8428760102431773E-3</c:v>
                </c:pt>
                <c:pt idx="5">
                  <c:v>6.0533251516292534E-3</c:v>
                </c:pt>
                <c:pt idx="6">
                  <c:v>3.9912887116894322E-3</c:v>
                </c:pt>
                <c:pt idx="7">
                  <c:v>4.3421094059454823E-3</c:v>
                </c:pt>
                <c:pt idx="8">
                  <c:v>7.9351350969561751E-3</c:v>
                </c:pt>
                <c:pt idx="9">
                  <c:v>6.1580194738984385E-3</c:v>
                </c:pt>
                <c:pt idx="10">
                  <c:v>9.8137997234515779E-3</c:v>
                </c:pt>
                <c:pt idx="11">
                  <c:v>1.246445248568181E-2</c:v>
                </c:pt>
                <c:pt idx="12">
                  <c:v>2.1444262196309238E-2</c:v>
                </c:pt>
                <c:pt idx="13">
                  <c:v>3.0120188630618758E-2</c:v>
                </c:pt>
                <c:pt idx="14">
                  <c:v>1.3205537871858016E-2</c:v>
                </c:pt>
                <c:pt idx="15">
                  <c:v>1.424945943442167E-2</c:v>
                </c:pt>
                <c:pt idx="16">
                  <c:v>1.5241334540312347E-2</c:v>
                </c:pt>
                <c:pt idx="17">
                  <c:v>3.3842982886625898E-2</c:v>
                </c:pt>
                <c:pt idx="18">
                  <c:v>3.1618149453551125E-2</c:v>
                </c:pt>
                <c:pt idx="19">
                  <c:v>4.8996735726009787E-2</c:v>
                </c:pt>
                <c:pt idx="20">
                  <c:v>7.31031890739854E-2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FD7-48FB-BBDE-93428472106F}"/>
            </c:ext>
          </c:extLst>
        </c:ser>
        <c:ser>
          <c:idx val="17"/>
          <c:order val="17"/>
          <c:tx>
            <c:strRef>
              <c:f>'cause pop. femminile'!$AS$3</c:f>
              <c:strCache>
                <c:ptCount val="1"/>
                <c:pt idx="0">
                  <c:v>sintomi, segni, risultati anomali e cause mal definite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femminile'!$AS$4:$AS$24</c:f>
              <c:numCache>
                <c:formatCode>0.00000</c:formatCode>
                <c:ptCount val="21"/>
                <c:pt idx="0">
                  <c:v>0.21688667964078875</c:v>
                </c:pt>
                <c:pt idx="1">
                  <c:v>3.816532633381331E-3</c:v>
                </c:pt>
                <c:pt idx="2">
                  <c:v>3.5703616063768049E-3</c:v>
                </c:pt>
                <c:pt idx="3">
                  <c:v>2.4445297486761484E-3</c:v>
                </c:pt>
                <c:pt idx="4">
                  <c:v>1.7107190025607943E-3</c:v>
                </c:pt>
                <c:pt idx="5">
                  <c:v>2.5942822078411083E-3</c:v>
                </c:pt>
                <c:pt idx="6">
                  <c:v>7.9825774233788643E-3</c:v>
                </c:pt>
                <c:pt idx="7">
                  <c:v>1.0855273514863706E-2</c:v>
                </c:pt>
                <c:pt idx="8">
                  <c:v>4.8831600596653387E-3</c:v>
                </c:pt>
                <c:pt idx="9">
                  <c:v>1.5908216974237634E-2</c:v>
                </c:pt>
                <c:pt idx="10">
                  <c:v>2.1177146771658668E-2</c:v>
                </c:pt>
                <c:pt idx="11">
                  <c:v>3.2515963006126462E-2</c:v>
                </c:pt>
                <c:pt idx="12">
                  <c:v>3.8251927160984044E-2</c:v>
                </c:pt>
                <c:pt idx="13">
                  <c:v>4.5180282945928137E-2</c:v>
                </c:pt>
                <c:pt idx="14">
                  <c:v>6.9911671086307151E-2</c:v>
                </c:pt>
                <c:pt idx="15">
                  <c:v>0.13914178035964689</c:v>
                </c:pt>
                <c:pt idx="16">
                  <c:v>0.20931432768695624</c:v>
                </c:pt>
                <c:pt idx="17">
                  <c:v>0.71070264061914379</c:v>
                </c:pt>
                <c:pt idx="18">
                  <c:v>1.6852473658742748</c:v>
                </c:pt>
                <c:pt idx="19">
                  <c:v>4.8147458973425623</c:v>
                </c:pt>
                <c:pt idx="20">
                  <c:v>14.380441622125415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FD7-48FB-BBDE-93428472106F}"/>
            </c:ext>
          </c:extLst>
        </c:ser>
        <c:ser>
          <c:idx val="18"/>
          <c:order val="18"/>
          <c:tx>
            <c:strRef>
              <c:f>'cause pop. femminile'!$AT$3</c:f>
              <c:strCache>
                <c:ptCount val="1"/>
                <c:pt idx="0">
                  <c:v>cause esterne di traumatismo e avvelenamento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femminile'!$AA$4:$AA$24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femminile'!$AT$4:$AT$24</c:f>
              <c:numCache>
                <c:formatCode>0.00000</c:formatCode>
                <c:ptCount val="21"/>
                <c:pt idx="0">
                  <c:v>7.0341625829445004E-2</c:v>
                </c:pt>
                <c:pt idx="1">
                  <c:v>1.2721775444604436E-2</c:v>
                </c:pt>
                <c:pt idx="2">
                  <c:v>6.2481328111594087E-3</c:v>
                </c:pt>
                <c:pt idx="3">
                  <c:v>1.5482021741615606E-2</c:v>
                </c:pt>
                <c:pt idx="4">
                  <c:v>3.592509905377668E-2</c:v>
                </c:pt>
                <c:pt idx="5">
                  <c:v>4.496755826924588E-2</c:v>
                </c:pt>
                <c:pt idx="6">
                  <c:v>7.2641454552747675E-2</c:v>
                </c:pt>
                <c:pt idx="7">
                  <c:v>5.3552682673327613E-2</c:v>
                </c:pt>
                <c:pt idx="8">
                  <c:v>8.1182535991936255E-2</c:v>
                </c:pt>
                <c:pt idx="9">
                  <c:v>9.2883460397968118E-2</c:v>
                </c:pt>
                <c:pt idx="10">
                  <c:v>9.4522386810086262E-2</c:v>
                </c:pt>
                <c:pt idx="11">
                  <c:v>0.12952191930773707</c:v>
                </c:pt>
                <c:pt idx="12">
                  <c:v>0.14141621556485012</c:v>
                </c:pt>
                <c:pt idx="13">
                  <c:v>0.14077914251267462</c:v>
                </c:pt>
                <c:pt idx="14">
                  <c:v>0.16545762157092692</c:v>
                </c:pt>
                <c:pt idx="15">
                  <c:v>0.25397565933116267</c:v>
                </c:pt>
                <c:pt idx="16">
                  <c:v>0.39830687598682935</c:v>
                </c:pt>
                <c:pt idx="17">
                  <c:v>0.88512416780406189</c:v>
                </c:pt>
                <c:pt idx="18">
                  <c:v>1.7532263871994098</c:v>
                </c:pt>
                <c:pt idx="19">
                  <c:v>3.4265050517722848</c:v>
                </c:pt>
                <c:pt idx="20">
                  <c:v>5.9840181913419483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FD7-48FB-BBDE-934284721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25328"/>
        <c:axId val="115423248"/>
      </c:lineChart>
      <c:catAx>
        <c:axId val="115425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>
                    <a:solidFill>
                      <a:schemeClr val="tx1"/>
                    </a:solidFill>
                  </a:rPr>
                  <a:t>classi di età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5423248"/>
        <c:crosses val="autoZero"/>
        <c:auto val="1"/>
        <c:lblAlgn val="ctr"/>
        <c:lblOffset val="100"/>
        <c:noMultiLvlLbl val="0"/>
      </c:catAx>
      <c:valAx>
        <c:axId val="11542324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>
                    <a:solidFill>
                      <a:schemeClr val="tx1"/>
                    </a:solidFill>
                  </a:rPr>
                  <a:t>mx (per mille)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542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298435679848896E-2"/>
          <c:y val="0.75537521867440038"/>
          <c:w val="0.92362067768799716"/>
          <c:h val="0.220319229834321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 b="1">
                <a:ln>
                  <a:noFill/>
                </a:ln>
                <a:solidFill>
                  <a:schemeClr val="tx1"/>
                </a:solidFill>
              </a:rPr>
              <a:t>Tassi di mortalità (per mille)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9447374663542545E-2"/>
          <c:y val="0.15147760218688122"/>
          <c:w val="0.89055268585039016"/>
          <c:h val="0.6577434061662952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femminile'!$A$4:$A$24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femminile'!$Y$4:$Y$24</c:f>
              <c:numCache>
                <c:formatCode>General</c:formatCode>
                <c:ptCount val="21"/>
                <c:pt idx="0">
                  <c:v>2.3095500480667774</c:v>
                </c:pt>
                <c:pt idx="1">
                  <c:v>9.0324605656691509E-2</c:v>
                </c:pt>
                <c:pt idx="2">
                  <c:v>6.4266508914782486E-2</c:v>
                </c:pt>
                <c:pt idx="3">
                  <c:v>6.5187459964697284E-2</c:v>
                </c:pt>
                <c:pt idx="4">
                  <c:v>0.11718425167541441</c:v>
                </c:pt>
                <c:pt idx="5">
                  <c:v>0.13057887112800245</c:v>
                </c:pt>
                <c:pt idx="6">
                  <c:v>0.19397663138810642</c:v>
                </c:pt>
                <c:pt idx="7">
                  <c:v>0.27210552277258354</c:v>
                </c:pt>
                <c:pt idx="8">
                  <c:v>0.41812058010884462</c:v>
                </c:pt>
                <c:pt idx="9">
                  <c:v>0.65839491541764139</c:v>
                </c:pt>
                <c:pt idx="10">
                  <c:v>1.1017281479011694</c:v>
                </c:pt>
                <c:pt idx="11">
                  <c:v>1.8859258543553346</c:v>
                </c:pt>
                <c:pt idx="12">
                  <c:v>3.0717456659578097</c:v>
                </c:pt>
                <c:pt idx="13">
                  <c:v>4.6535691434305981</c:v>
                </c:pt>
                <c:pt idx="14">
                  <c:v>6.8482365810764865</c:v>
                </c:pt>
                <c:pt idx="15">
                  <c:v>11.126313207794896</c:v>
                </c:pt>
                <c:pt idx="16">
                  <c:v>20.516868469199128</c:v>
                </c:pt>
                <c:pt idx="17">
                  <c:v>45.34178714895102</c:v>
                </c:pt>
                <c:pt idx="18">
                  <c:v>93.017433877402055</c:v>
                </c:pt>
                <c:pt idx="19">
                  <c:v>181.54270521201147</c:v>
                </c:pt>
                <c:pt idx="20">
                  <c:v>324.45283973579694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9-421D-A4AC-4A7EDA808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2166496"/>
        <c:axId val="1982167328"/>
      </c:lineChart>
      <c:catAx>
        <c:axId val="1982166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>
                    <a:solidFill>
                      <a:schemeClr val="tx1"/>
                    </a:solidFill>
                  </a:rPr>
                  <a:t>classi di età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82167328"/>
        <c:crosses val="autoZero"/>
        <c:auto val="1"/>
        <c:lblAlgn val="ctr"/>
        <c:lblOffset val="100"/>
        <c:noMultiLvlLbl val="0"/>
      </c:catAx>
      <c:valAx>
        <c:axId val="198216732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>
                    <a:solidFill>
                      <a:schemeClr val="tx1"/>
                    </a:solidFill>
                  </a:rPr>
                  <a:t>mx</a:t>
                </a:r>
                <a:r>
                  <a:rPr lang="it-IT" baseline="0">
                    <a:solidFill>
                      <a:schemeClr val="tx1"/>
                    </a:solidFill>
                  </a:rPr>
                  <a:t> (per mille)</a:t>
                </a:r>
                <a:endParaRPr lang="it-IT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8216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 b="1">
                <a:ln>
                  <a:noFill/>
                </a:ln>
                <a:solidFill>
                  <a:schemeClr val="tx1"/>
                </a:solidFill>
              </a:rPr>
              <a:t>Tassi di mortalità (per mille)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ln>
                <a:noFill/>
              </a:ln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9447374663542545E-2"/>
          <c:y val="0.15147760218688122"/>
          <c:w val="0.89055268585039016"/>
          <c:h val="0.6577434061662952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femminile'!$A$4:$A$24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femminile'!$Y$4:$Y$24</c:f>
              <c:numCache>
                <c:formatCode>General</c:formatCode>
                <c:ptCount val="21"/>
                <c:pt idx="0">
                  <c:v>2.3095500480667774</c:v>
                </c:pt>
                <c:pt idx="1">
                  <c:v>9.0324605656691509E-2</c:v>
                </c:pt>
                <c:pt idx="2">
                  <c:v>6.4266508914782486E-2</c:v>
                </c:pt>
                <c:pt idx="3">
                  <c:v>6.5187459964697284E-2</c:v>
                </c:pt>
                <c:pt idx="4">
                  <c:v>0.11718425167541441</c:v>
                </c:pt>
                <c:pt idx="5">
                  <c:v>0.13057887112800245</c:v>
                </c:pt>
                <c:pt idx="6">
                  <c:v>0.19397663138810642</c:v>
                </c:pt>
                <c:pt idx="7">
                  <c:v>0.27210552277258354</c:v>
                </c:pt>
                <c:pt idx="8">
                  <c:v>0.41812058010884462</c:v>
                </c:pt>
                <c:pt idx="9">
                  <c:v>0.65839491541764139</c:v>
                </c:pt>
                <c:pt idx="10">
                  <c:v>1.1017281479011694</c:v>
                </c:pt>
                <c:pt idx="11">
                  <c:v>1.8859258543553346</c:v>
                </c:pt>
                <c:pt idx="12">
                  <c:v>3.0717456659578097</c:v>
                </c:pt>
                <c:pt idx="13">
                  <c:v>4.6535691434305981</c:v>
                </c:pt>
                <c:pt idx="14">
                  <c:v>6.8482365810764865</c:v>
                </c:pt>
                <c:pt idx="15">
                  <c:v>11.126313207794896</c:v>
                </c:pt>
                <c:pt idx="16">
                  <c:v>20.516868469199128</c:v>
                </c:pt>
                <c:pt idx="17">
                  <c:v>45.34178714895102</c:v>
                </c:pt>
                <c:pt idx="18">
                  <c:v>93.017433877402055</c:v>
                </c:pt>
                <c:pt idx="19">
                  <c:v>181.54270521201147</c:v>
                </c:pt>
                <c:pt idx="20">
                  <c:v>324.45283973579694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D-4B55-A884-DDA556D54A48}"/>
            </c:ext>
          </c:extLst>
        </c:ser>
        <c:ser>
          <c:idx val="1"/>
          <c:order val="1"/>
          <c:tx>
            <c:v>Covid</c:v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'cause pop. femminile'!$AC$4:$AC$24</c:f>
              <c:numCache>
                <c:formatCode>0</c:formatCode>
                <c:ptCount val="21"/>
                <c:pt idx="0" formatCode="0.00000">
                  <c:v>1.7585406457361251E-2</c:v>
                </c:pt>
                <c:pt idx="1">
                  <c:v>0</c:v>
                </c:pt>
                <c:pt idx="2">
                  <c:v>0</c:v>
                </c:pt>
                <c:pt idx="3" formatCode="0.00000">
                  <c:v>1.6296864991174323E-3</c:v>
                </c:pt>
                <c:pt idx="4" formatCode="0.00000">
                  <c:v>2.5660785038411913E-3</c:v>
                </c:pt>
                <c:pt idx="5" formatCode="0.00000">
                  <c:v>5.1885644156822166E-3</c:v>
                </c:pt>
                <c:pt idx="6" formatCode="0.00000">
                  <c:v>1.0377350650392525E-2</c:v>
                </c:pt>
                <c:pt idx="7" formatCode="0.00000">
                  <c:v>1.5921067821800101E-2</c:v>
                </c:pt>
                <c:pt idx="8" formatCode="0.00000">
                  <c:v>2.0143035246119521E-2</c:v>
                </c:pt>
                <c:pt idx="9" formatCode="0.00000">
                  <c:v>2.5658414474576827E-2</c:v>
                </c:pt>
                <c:pt idx="10" formatCode="0.00000">
                  <c:v>6.0948861440383487E-2</c:v>
                </c:pt>
                <c:pt idx="11" formatCode="0.00000">
                  <c:v>0.10025755260222326</c:v>
                </c:pt>
                <c:pt idx="12" formatCode="0.00000">
                  <c:v>0.21502219661704669</c:v>
                </c:pt>
                <c:pt idx="13" formatCode="0.00000">
                  <c:v>0.36733534395167661</c:v>
                </c:pt>
                <c:pt idx="14" formatCode="0.00000">
                  <c:v>0.66726806070153155</c:v>
                </c:pt>
                <c:pt idx="15" formatCode="0.00000">
                  <c:v>1.3092738609745087</c:v>
                </c:pt>
                <c:pt idx="16" formatCode="0.00000">
                  <c:v>2.6814587901256188</c:v>
                </c:pt>
                <c:pt idx="17" formatCode="0.00000">
                  <c:v>5.7233690674036177</c:v>
                </c:pt>
                <c:pt idx="18" formatCode="0.00000">
                  <c:v>11.580147237363098</c:v>
                </c:pt>
                <c:pt idx="19" formatCode="0.00000">
                  <c:v>21.081662158377814</c:v>
                </c:pt>
                <c:pt idx="20" formatCode="0.00000">
                  <c:v>34.013869544852923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1D-4B55-A884-DDA556D54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2166496"/>
        <c:axId val="1982167328"/>
      </c:lineChart>
      <c:catAx>
        <c:axId val="1982166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>
                    <a:solidFill>
                      <a:schemeClr val="tx1"/>
                    </a:solidFill>
                  </a:rPr>
                  <a:t>classi di età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82167328"/>
        <c:crosses val="autoZero"/>
        <c:auto val="1"/>
        <c:lblAlgn val="ctr"/>
        <c:lblOffset val="100"/>
        <c:noMultiLvlLbl val="0"/>
      </c:catAx>
      <c:valAx>
        <c:axId val="198216732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>
                    <a:solidFill>
                      <a:schemeClr val="tx1"/>
                    </a:solidFill>
                  </a:rPr>
                  <a:t>mx</a:t>
                </a:r>
                <a:r>
                  <a:rPr lang="it-IT" baseline="0">
                    <a:solidFill>
                      <a:schemeClr val="tx1"/>
                    </a:solidFill>
                  </a:rPr>
                  <a:t> (per mille)</a:t>
                </a:r>
                <a:endParaRPr lang="it-IT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8216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it-IT" b="1">
                <a:solidFill>
                  <a:schemeClr val="tx1"/>
                </a:solidFill>
              </a:rPr>
              <a:t>Tassi di mortalità (per mille)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'cause pop. maschile '!$A$4:$A$24</c:f>
              <c:strCache>
                <c:ptCount val="21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85-89</c:v>
                </c:pt>
                <c:pt idx="19">
                  <c:v>90-94</c:v>
                </c:pt>
                <c:pt idx="20">
                  <c:v>&gt;94</c:v>
                </c:pt>
              </c:strCache>
            </c:strRef>
          </c:cat>
          <c:val>
            <c:numRef>
              <c:f>'cause pop. maschile '!$Y$4:$Y$24</c:f>
              <c:numCache>
                <c:formatCode>0.00000</c:formatCode>
                <c:ptCount val="21"/>
                <c:pt idx="0">
                  <c:v>2.7576621029953436</c:v>
                </c:pt>
                <c:pt idx="1">
                  <c:v>0.14053093931365968</c:v>
                </c:pt>
                <c:pt idx="2">
                  <c:v>5.6206377040076985E-2</c:v>
                </c:pt>
                <c:pt idx="3">
                  <c:v>8.3233714807800965E-2</c:v>
                </c:pt>
                <c:pt idx="4">
                  <c:v>0.19359178423833825</c:v>
                </c:pt>
                <c:pt idx="5">
                  <c:v>0.37662143057262226</c:v>
                </c:pt>
                <c:pt idx="6">
                  <c:v>0.45111930580971499</c:v>
                </c:pt>
                <c:pt idx="7">
                  <c:v>0.61444442290956713</c:v>
                </c:pt>
                <c:pt idx="8">
                  <c:v>0.77043414999728954</c:v>
                </c:pt>
                <c:pt idx="9">
                  <c:v>1.1531092517747599</c:v>
                </c:pt>
                <c:pt idx="10">
                  <c:v>1.9865010727168857</c:v>
                </c:pt>
                <c:pt idx="11">
                  <c:v>3.757975798223351</c:v>
                </c:pt>
                <c:pt idx="12">
                  <c:v>6.3030445236834725</c:v>
                </c:pt>
                <c:pt idx="13">
                  <c:v>10.314358144642091</c:v>
                </c:pt>
                <c:pt idx="14">
                  <c:v>15.94726345773036</c:v>
                </c:pt>
                <c:pt idx="15">
                  <c:v>24.876504194166301</c:v>
                </c:pt>
                <c:pt idx="16">
                  <c:v>40.907761743250681</c:v>
                </c:pt>
                <c:pt idx="17">
                  <c:v>74.370278637191021</c:v>
                </c:pt>
                <c:pt idx="18">
                  <c:v>132.41799542839615</c:v>
                </c:pt>
                <c:pt idx="19">
                  <c:v>228.45396723343862</c:v>
                </c:pt>
                <c:pt idx="20">
                  <c:v>346.4043400389636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2-4295-B5EF-166DF56DE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1866255"/>
        <c:axId val="987546799"/>
      </c:lineChart>
      <c:catAx>
        <c:axId val="6418662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>
                    <a:solidFill>
                      <a:schemeClr val="tx1"/>
                    </a:solidFill>
                  </a:rPr>
                  <a:t>classi di età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87546799"/>
        <c:crosses val="autoZero"/>
        <c:auto val="1"/>
        <c:lblAlgn val="ctr"/>
        <c:lblOffset val="100"/>
        <c:noMultiLvlLbl val="0"/>
      </c:catAx>
      <c:valAx>
        <c:axId val="987546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>
                    <a:solidFill>
                      <a:schemeClr val="tx1"/>
                    </a:solidFill>
                  </a:rPr>
                  <a:t>mx (per mille)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41866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gif"/><Relationship Id="rId1" Type="http://schemas.openxmlformats.org/officeDocument/2006/relationships/hyperlink" Target="https://www.ine.es/infoine/?L=1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417</xdr:row>
      <xdr:rowOff>0</xdr:rowOff>
    </xdr:from>
    <xdr:to>
      <xdr:col>7</xdr:col>
      <xdr:colOff>566150</xdr:colOff>
      <xdr:row>440</xdr:row>
      <xdr:rowOff>129541</xdr:rowOff>
    </xdr:to>
    <xdr:pic>
      <xdr:nvPicPr>
        <xdr:cNvPr id="2" name="Immagine 1" descr="https://www.ine.es/menus/_b/img/logo_contacto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00"/>
          <a:ext cx="7315200" cy="433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556260</xdr:colOff>
      <xdr:row>0</xdr:row>
      <xdr:rowOff>121920</xdr:rowOff>
    </xdr:from>
    <xdr:to>
      <xdr:col>18</xdr:col>
      <xdr:colOff>601980</xdr:colOff>
      <xdr:row>23</xdr:row>
      <xdr:rowOff>15240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93DE95E-6431-BEA6-B974-049EE2B10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598170</xdr:colOff>
      <xdr:row>25</xdr:row>
      <xdr:rowOff>152400</xdr:rowOff>
    </xdr:from>
    <xdr:to>
      <xdr:col>9</xdr:col>
      <xdr:colOff>533400</xdr:colOff>
      <xdr:row>28</xdr:row>
      <xdr:rowOff>635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CA256DC0-A3EB-407C-849C-B97AB6346CA8}"/>
            </a:ext>
          </a:extLst>
        </xdr:cNvPr>
        <xdr:cNvSpPr txBox="1">
          <a:spLocks noChangeArrowheads="1"/>
        </xdr:cNvSpPr>
      </xdr:nvSpPr>
      <xdr:spPr bwMode="auto">
        <a:xfrm>
          <a:off x="6644640" y="4751070"/>
          <a:ext cx="914400" cy="39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9pPr>
        </a:lstStyle>
        <a:p>
          <a:pPr>
            <a:spcBef>
              <a:spcPct val="50000"/>
            </a:spcBef>
            <a:buFontTx/>
            <a:buNone/>
          </a:pPr>
          <a:r>
            <a:rPr lang="en-US" sz="2000" i="1" baseline="-25000"/>
            <a:t>n </a:t>
          </a:r>
          <a:r>
            <a:rPr lang="en-US" sz="2000"/>
            <a:t>∆ </a:t>
          </a:r>
          <a:r>
            <a:rPr lang="en-US" sz="2000" i="1" baseline="-25000"/>
            <a:t>x</a:t>
          </a:r>
        </a:p>
      </xdr:txBody>
    </xdr:sp>
    <xdr:clientData/>
  </xdr:twoCellAnchor>
  <xdr:twoCellAnchor editAs="oneCell">
    <xdr:from>
      <xdr:col>9</xdr:col>
      <xdr:colOff>304800</xdr:colOff>
      <xdr:row>24</xdr:row>
      <xdr:rowOff>30480</xdr:rowOff>
    </xdr:from>
    <xdr:to>
      <xdr:col>16</xdr:col>
      <xdr:colOff>568960</xdr:colOff>
      <xdr:row>30</xdr:row>
      <xdr:rowOff>7938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3A7981A-5467-4870-9AE2-472A3BB9904E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0440" y="4446270"/>
          <a:ext cx="5689600" cy="10747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20</xdr:col>
      <xdr:colOff>171450</xdr:colOff>
      <xdr:row>0</xdr:row>
      <xdr:rowOff>15240</xdr:rowOff>
    </xdr:from>
    <xdr:to>
      <xdr:col>27</xdr:col>
      <xdr:colOff>262890</xdr:colOff>
      <xdr:row>14</xdr:row>
      <xdr:rowOff>171450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C762237E-D0DF-4334-B1AA-66D51B275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556260</xdr:colOff>
      <xdr:row>14</xdr:row>
      <xdr:rowOff>163830</xdr:rowOff>
    </xdr:from>
    <xdr:to>
      <xdr:col>29</xdr:col>
      <xdr:colOff>7620</xdr:colOff>
      <xdr:row>29</xdr:row>
      <xdr:rowOff>163830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EFF103C-3D4A-4795-B28C-EF0387B64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169333</xdr:colOff>
      <xdr:row>31</xdr:row>
      <xdr:rowOff>142117</xdr:rowOff>
    </xdr:from>
    <xdr:to>
      <xdr:col>21</xdr:col>
      <xdr:colOff>622905</xdr:colOff>
      <xdr:row>54</xdr:row>
      <xdr:rowOff>121709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4ACCDE5-0126-D6AD-B0F4-3AD08D513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764540</xdr:colOff>
      <xdr:row>31</xdr:row>
      <xdr:rowOff>162278</xdr:rowOff>
    </xdr:from>
    <xdr:to>
      <xdr:col>38</xdr:col>
      <xdr:colOff>939334</xdr:colOff>
      <xdr:row>69</xdr:row>
      <xdr:rowOff>139015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58721C86-74ED-9193-8BFB-67C6ABCBA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40</xdr:col>
      <xdr:colOff>0</xdr:colOff>
      <xdr:row>32</xdr:row>
      <xdr:rowOff>0</xdr:rowOff>
    </xdr:from>
    <xdr:to>
      <xdr:col>57</xdr:col>
      <xdr:colOff>51040</xdr:colOff>
      <xdr:row>69</xdr:row>
      <xdr:rowOff>161451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C9975FB-0412-4918-9ED7-ACAE133ED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56</xdr:row>
      <xdr:rowOff>0</xdr:rowOff>
    </xdr:from>
    <xdr:to>
      <xdr:col>21</xdr:col>
      <xdr:colOff>457382</xdr:colOff>
      <xdr:row>78</xdr:row>
      <xdr:rowOff>163036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30DFB1C-6143-4B5B-B5D8-BECF73CA9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81</xdr:row>
      <xdr:rowOff>0</xdr:rowOff>
    </xdr:from>
    <xdr:to>
      <xdr:col>21</xdr:col>
      <xdr:colOff>457382</xdr:colOff>
      <xdr:row>103</xdr:row>
      <xdr:rowOff>164306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318B991-7641-491B-B603-EB65188AE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685800</xdr:colOff>
      <xdr:row>28</xdr:row>
      <xdr:rowOff>19049</xdr:rowOff>
    </xdr:from>
    <xdr:to>
      <xdr:col>20</xdr:col>
      <xdr:colOff>85725</xdr:colOff>
      <xdr:row>59</xdr:row>
      <xdr:rowOff>95249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233C7D4-B112-4CAD-A0F9-91A2C0792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444502</xdr:colOff>
      <xdr:row>28</xdr:row>
      <xdr:rowOff>5442</xdr:rowOff>
    </xdr:from>
    <xdr:to>
      <xdr:col>57</xdr:col>
      <xdr:colOff>28576</xdr:colOff>
      <xdr:row>70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022FE7F-551C-41E5-AB52-C2DA1FB07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4"/>
  <sheetViews>
    <sheetView zoomScaleNormal="100" workbookViewId="0">
      <selection activeCell="A6" sqref="A6"/>
    </sheetView>
  </sheetViews>
  <sheetFormatPr defaultRowHeight="14.4" x14ac:dyDescent="0.55000000000000004"/>
  <cols>
    <col min="1" max="1" width="75.20703125" customWidth="1"/>
    <col min="44" max="44" width="9.20703125" bestFit="1" customWidth="1"/>
  </cols>
  <sheetData>
    <row r="1" spans="1:50" ht="14.4" customHeight="1" x14ac:dyDescent="0.55000000000000004">
      <c r="A1" s="11"/>
      <c r="B1" s="141">
        <v>0</v>
      </c>
      <c r="C1" s="141"/>
      <c r="D1" s="143" t="s">
        <v>2</v>
      </c>
      <c r="E1" s="141"/>
      <c r="F1" s="144" t="s">
        <v>3</v>
      </c>
      <c r="G1" s="141"/>
      <c r="H1" s="144" t="s">
        <v>5</v>
      </c>
      <c r="I1" s="141"/>
      <c r="J1" s="141" t="s">
        <v>4</v>
      </c>
      <c r="K1" s="141"/>
      <c r="L1" s="141" t="s">
        <v>6</v>
      </c>
      <c r="M1" s="141"/>
      <c r="N1" s="141" t="s">
        <v>7</v>
      </c>
      <c r="O1" s="141"/>
      <c r="P1" s="141" t="s">
        <v>8</v>
      </c>
      <c r="Q1" s="141"/>
      <c r="R1" s="141" t="s">
        <v>9</v>
      </c>
      <c r="S1" s="141"/>
      <c r="T1" s="141" t="s">
        <v>10</v>
      </c>
      <c r="U1" s="141"/>
      <c r="V1" s="141" t="s">
        <v>11</v>
      </c>
      <c r="W1" s="141"/>
      <c r="X1" s="141" t="s">
        <v>12</v>
      </c>
      <c r="Y1" s="141"/>
      <c r="Z1" s="141" t="s">
        <v>13</v>
      </c>
      <c r="AA1" s="141"/>
      <c r="AB1" s="141" t="s">
        <v>14</v>
      </c>
      <c r="AC1" s="141"/>
      <c r="AD1" s="141" t="s">
        <v>15</v>
      </c>
      <c r="AE1" s="141"/>
      <c r="AF1" s="141" t="s">
        <v>16</v>
      </c>
      <c r="AG1" s="141"/>
      <c r="AH1" s="141" t="s">
        <v>17</v>
      </c>
      <c r="AI1" s="141"/>
      <c r="AJ1" s="141" t="s">
        <v>18</v>
      </c>
      <c r="AK1" s="141"/>
      <c r="AL1" s="141" t="s">
        <v>19</v>
      </c>
      <c r="AM1" s="141"/>
      <c r="AN1" s="141" t="s">
        <v>20</v>
      </c>
      <c r="AO1" s="141"/>
      <c r="AP1" s="141" t="s">
        <v>21</v>
      </c>
      <c r="AQ1" s="141"/>
      <c r="AR1" s="142" t="s">
        <v>22</v>
      </c>
      <c r="AS1" s="142"/>
    </row>
    <row r="2" spans="1:50" x14ac:dyDescent="0.55000000000000004">
      <c r="A2" s="12"/>
      <c r="B2" s="6" t="s">
        <v>0</v>
      </c>
      <c r="C2" s="6" t="s">
        <v>1</v>
      </c>
      <c r="D2" s="6" t="s">
        <v>0</v>
      </c>
      <c r="E2" s="6" t="s">
        <v>1</v>
      </c>
      <c r="F2" s="6" t="s">
        <v>0</v>
      </c>
      <c r="G2" s="6" t="s">
        <v>1</v>
      </c>
      <c r="H2" s="6" t="s">
        <v>0</v>
      </c>
      <c r="I2" s="6" t="s">
        <v>1</v>
      </c>
      <c r="J2" s="6" t="s">
        <v>0</v>
      </c>
      <c r="K2" s="6" t="s">
        <v>1</v>
      </c>
      <c r="L2" s="6" t="s">
        <v>0</v>
      </c>
      <c r="M2" s="6" t="s">
        <v>1</v>
      </c>
      <c r="N2" s="6" t="s">
        <v>0</v>
      </c>
      <c r="O2" s="6" t="s">
        <v>1</v>
      </c>
      <c r="P2" s="6" t="s">
        <v>0</v>
      </c>
      <c r="Q2" s="6" t="s">
        <v>1</v>
      </c>
      <c r="R2" s="6" t="s">
        <v>0</v>
      </c>
      <c r="S2" s="6" t="s">
        <v>1</v>
      </c>
      <c r="T2" s="6" t="s">
        <v>0</v>
      </c>
      <c r="U2" s="6" t="s">
        <v>1</v>
      </c>
      <c r="V2" s="6" t="s">
        <v>0</v>
      </c>
      <c r="W2" s="6" t="s">
        <v>1</v>
      </c>
      <c r="X2" s="6" t="s">
        <v>0</v>
      </c>
      <c r="Y2" s="6" t="s">
        <v>1</v>
      </c>
      <c r="Z2" s="6" t="s">
        <v>0</v>
      </c>
      <c r="AA2" s="6" t="s">
        <v>1</v>
      </c>
      <c r="AB2" s="6" t="s">
        <v>0</v>
      </c>
      <c r="AC2" s="6" t="s">
        <v>1</v>
      </c>
      <c r="AD2" s="6" t="s">
        <v>0</v>
      </c>
      <c r="AE2" s="6" t="s">
        <v>1</v>
      </c>
      <c r="AF2" s="6" t="s">
        <v>0</v>
      </c>
      <c r="AG2" s="6" t="s">
        <v>1</v>
      </c>
      <c r="AH2" s="6" t="s">
        <v>0</v>
      </c>
      <c r="AI2" s="6" t="s">
        <v>1</v>
      </c>
      <c r="AJ2" s="6" t="s">
        <v>0</v>
      </c>
      <c r="AK2" s="6" t="s">
        <v>1</v>
      </c>
      <c r="AL2" s="6" t="s">
        <v>0</v>
      </c>
      <c r="AM2" s="6" t="s">
        <v>1</v>
      </c>
      <c r="AN2" s="6" t="s">
        <v>0</v>
      </c>
      <c r="AO2" s="6" t="s">
        <v>1</v>
      </c>
      <c r="AP2" s="6" t="s">
        <v>0</v>
      </c>
      <c r="AQ2" s="6" t="s">
        <v>1</v>
      </c>
      <c r="AR2" s="6" t="s">
        <v>0</v>
      </c>
      <c r="AS2" s="6" t="s">
        <v>1</v>
      </c>
    </row>
    <row r="3" spans="1:50" s="2" customFormat="1" ht="18.600000000000001" customHeight="1" x14ac:dyDescent="0.55000000000000004">
      <c r="A3" s="5" t="s">
        <v>40</v>
      </c>
      <c r="B3" s="7">
        <v>7</v>
      </c>
      <c r="C3" s="7">
        <v>6</v>
      </c>
      <c r="D3" s="7">
        <v>1</v>
      </c>
      <c r="E3" s="7">
        <v>6</v>
      </c>
      <c r="F3" s="7">
        <v>1</v>
      </c>
      <c r="G3" s="7">
        <v>1</v>
      </c>
      <c r="H3" s="7">
        <v>4</v>
      </c>
      <c r="I3" s="7">
        <v>1</v>
      </c>
      <c r="J3" s="7">
        <v>5</v>
      </c>
      <c r="K3" s="7">
        <v>1</v>
      </c>
      <c r="L3" s="7">
        <v>4</v>
      </c>
      <c r="M3" s="7">
        <v>1</v>
      </c>
      <c r="N3" s="7">
        <v>11</v>
      </c>
      <c r="O3" s="7">
        <v>2</v>
      </c>
      <c r="P3" s="7">
        <v>26</v>
      </c>
      <c r="Q3" s="7">
        <v>7</v>
      </c>
      <c r="R3" s="7">
        <v>32</v>
      </c>
      <c r="S3" s="7">
        <v>12</v>
      </c>
      <c r="T3" s="7">
        <v>40</v>
      </c>
      <c r="U3" s="7">
        <v>18</v>
      </c>
      <c r="V3" s="7">
        <v>102</v>
      </c>
      <c r="W3" s="7">
        <v>35</v>
      </c>
      <c r="X3" s="7">
        <v>144</v>
      </c>
      <c r="Y3" s="7">
        <v>61</v>
      </c>
      <c r="Z3" s="7">
        <v>188</v>
      </c>
      <c r="AA3" s="7">
        <v>72</v>
      </c>
      <c r="AB3" s="7">
        <v>153</v>
      </c>
      <c r="AC3" s="7">
        <v>70</v>
      </c>
      <c r="AD3" s="7">
        <v>201</v>
      </c>
      <c r="AE3" s="7">
        <v>96</v>
      </c>
      <c r="AF3" s="7">
        <v>244</v>
      </c>
      <c r="AG3" s="7">
        <v>157</v>
      </c>
      <c r="AH3" s="7">
        <v>346</v>
      </c>
      <c r="AI3" s="7">
        <v>284</v>
      </c>
      <c r="AJ3" s="7">
        <v>421</v>
      </c>
      <c r="AK3" s="7">
        <v>490</v>
      </c>
      <c r="AL3" s="7">
        <v>524</v>
      </c>
      <c r="AM3" s="7">
        <v>789</v>
      </c>
      <c r="AN3" s="7">
        <v>355</v>
      </c>
      <c r="AO3" s="7">
        <v>623</v>
      </c>
      <c r="AP3" s="7">
        <v>111</v>
      </c>
      <c r="AQ3" s="7">
        <v>305</v>
      </c>
      <c r="AR3" s="7">
        <v>2920</v>
      </c>
      <c r="AS3" s="7">
        <v>3037</v>
      </c>
      <c r="AT3" s="4"/>
      <c r="AW3" s="1"/>
      <c r="AX3" s="1"/>
    </row>
    <row r="4" spans="1:50" s="2" customFormat="1" ht="18.600000000000001" customHeight="1" x14ac:dyDescent="0.55000000000000004">
      <c r="A4" s="5" t="s">
        <v>41</v>
      </c>
      <c r="B4" s="8">
        <v>1</v>
      </c>
      <c r="C4" s="8">
        <v>3</v>
      </c>
      <c r="D4" s="8">
        <v>0</v>
      </c>
      <c r="E4" s="8">
        <v>0</v>
      </c>
      <c r="F4" s="8">
        <v>2</v>
      </c>
      <c r="G4" s="8">
        <v>0</v>
      </c>
      <c r="H4" s="8">
        <v>0</v>
      </c>
      <c r="I4" s="8">
        <v>2</v>
      </c>
      <c r="J4" s="8">
        <v>5</v>
      </c>
      <c r="K4" s="8">
        <v>3</v>
      </c>
      <c r="L4" s="8">
        <v>4</v>
      </c>
      <c r="M4" s="8">
        <v>6</v>
      </c>
      <c r="N4" s="8">
        <v>25</v>
      </c>
      <c r="O4" s="8">
        <v>13</v>
      </c>
      <c r="P4" s="8">
        <v>17</v>
      </c>
      <c r="Q4" s="8">
        <v>22</v>
      </c>
      <c r="R4" s="8">
        <v>57</v>
      </c>
      <c r="S4" s="8">
        <v>33</v>
      </c>
      <c r="T4" s="8">
        <v>107</v>
      </c>
      <c r="U4" s="8">
        <v>50</v>
      </c>
      <c r="V4" s="8">
        <v>233</v>
      </c>
      <c r="W4" s="8">
        <v>118</v>
      </c>
      <c r="X4" s="8">
        <v>456</v>
      </c>
      <c r="Y4" s="8">
        <v>185</v>
      </c>
      <c r="Z4" s="8">
        <v>808</v>
      </c>
      <c r="AA4" s="8">
        <v>371</v>
      </c>
      <c r="AB4" s="7">
        <v>1516</v>
      </c>
      <c r="AC4" s="8">
        <v>561</v>
      </c>
      <c r="AD4" s="7">
        <v>2205</v>
      </c>
      <c r="AE4" s="8">
        <v>859</v>
      </c>
      <c r="AF4" s="7">
        <v>3418</v>
      </c>
      <c r="AG4" s="7">
        <v>1562</v>
      </c>
      <c r="AH4" s="7">
        <v>4872</v>
      </c>
      <c r="AI4" s="7">
        <v>2639</v>
      </c>
      <c r="AJ4" s="7">
        <v>6007</v>
      </c>
      <c r="AK4" s="7">
        <v>4397</v>
      </c>
      <c r="AL4" s="7">
        <v>7143</v>
      </c>
      <c r="AM4" s="7">
        <v>7325</v>
      </c>
      <c r="AN4" s="7">
        <v>4246</v>
      </c>
      <c r="AO4" s="7">
        <v>6454</v>
      </c>
      <c r="AP4" s="7">
        <v>1376</v>
      </c>
      <c r="AQ4" s="7">
        <v>3257</v>
      </c>
      <c r="AR4" s="7">
        <v>32498</v>
      </c>
      <c r="AS4" s="7">
        <v>27860</v>
      </c>
      <c r="AT4" s="4"/>
      <c r="AW4" s="1"/>
      <c r="AX4" s="1"/>
    </row>
    <row r="5" spans="1:50" s="2" customFormat="1" ht="18.600000000000001" customHeight="1" x14ac:dyDescent="0.55000000000000004">
      <c r="A5" s="5" t="s">
        <v>73</v>
      </c>
      <c r="B5" s="8">
        <v>0</v>
      </c>
      <c r="C5" s="8">
        <v>0</v>
      </c>
      <c r="D5" s="8">
        <v>1</v>
      </c>
      <c r="E5" s="8">
        <v>0</v>
      </c>
      <c r="F5" s="8">
        <v>0</v>
      </c>
      <c r="G5" s="8">
        <v>0</v>
      </c>
      <c r="H5" s="8">
        <v>1</v>
      </c>
      <c r="I5" s="8">
        <v>0</v>
      </c>
      <c r="J5" s="8">
        <v>0</v>
      </c>
      <c r="K5" s="8">
        <v>1</v>
      </c>
      <c r="L5" s="8">
        <v>4</v>
      </c>
      <c r="M5" s="8">
        <v>1</v>
      </c>
      <c r="N5" s="8">
        <v>7</v>
      </c>
      <c r="O5" s="8">
        <v>2</v>
      </c>
      <c r="P5" s="8">
        <v>3</v>
      </c>
      <c r="Q5" s="8">
        <v>4</v>
      </c>
      <c r="R5" s="8">
        <v>10</v>
      </c>
      <c r="S5" s="8">
        <v>3</v>
      </c>
      <c r="T5" s="8">
        <v>18</v>
      </c>
      <c r="U5" s="8">
        <v>7</v>
      </c>
      <c r="V5" s="8">
        <v>36</v>
      </c>
      <c r="W5" s="8">
        <v>14</v>
      </c>
      <c r="X5" s="8">
        <v>85</v>
      </c>
      <c r="Y5" s="8">
        <v>30</v>
      </c>
      <c r="Z5" s="8">
        <v>108</v>
      </c>
      <c r="AA5" s="8">
        <v>52</v>
      </c>
      <c r="AB5" s="8">
        <v>167</v>
      </c>
      <c r="AC5" s="8">
        <v>79</v>
      </c>
      <c r="AD5" s="8">
        <v>237</v>
      </c>
      <c r="AE5" s="8">
        <v>107</v>
      </c>
      <c r="AF5" s="8">
        <v>431</v>
      </c>
      <c r="AG5" s="8">
        <v>250</v>
      </c>
      <c r="AH5" s="8">
        <v>740</v>
      </c>
      <c r="AI5" s="8">
        <v>464</v>
      </c>
      <c r="AJ5" s="7">
        <v>1142</v>
      </c>
      <c r="AK5" s="7">
        <v>1086</v>
      </c>
      <c r="AL5" s="7">
        <v>1681</v>
      </c>
      <c r="AM5" s="7">
        <v>2230</v>
      </c>
      <c r="AN5" s="7">
        <v>1227</v>
      </c>
      <c r="AO5" s="7">
        <v>2319</v>
      </c>
      <c r="AP5" s="8">
        <v>521</v>
      </c>
      <c r="AQ5" s="7">
        <v>1413</v>
      </c>
      <c r="AR5" s="7">
        <v>6419</v>
      </c>
      <c r="AS5" s="7">
        <v>8062</v>
      </c>
      <c r="AT5" s="4"/>
    </row>
    <row r="6" spans="1:50" s="2" customFormat="1" ht="18.600000000000001" customHeight="1" x14ac:dyDescent="0.55000000000000004">
      <c r="A6" s="5" t="s">
        <v>24</v>
      </c>
      <c r="B6" s="8">
        <v>5</v>
      </c>
      <c r="C6" s="8">
        <v>3</v>
      </c>
      <c r="D6" s="8">
        <v>30</v>
      </c>
      <c r="E6" s="8">
        <v>18</v>
      </c>
      <c r="F6" s="8">
        <v>24</v>
      </c>
      <c r="G6" s="8">
        <v>31</v>
      </c>
      <c r="H6" s="8">
        <v>39</v>
      </c>
      <c r="I6" s="8">
        <v>25</v>
      </c>
      <c r="J6" s="8">
        <v>49</v>
      </c>
      <c r="K6" s="8">
        <v>43</v>
      </c>
      <c r="L6" s="8">
        <v>68</v>
      </c>
      <c r="M6" s="8">
        <v>40</v>
      </c>
      <c r="N6" s="8">
        <v>77</v>
      </c>
      <c r="O6" s="8">
        <v>53</v>
      </c>
      <c r="P6" s="8">
        <v>131</v>
      </c>
      <c r="Q6" s="8">
        <v>148</v>
      </c>
      <c r="R6" s="8">
        <v>216</v>
      </c>
      <c r="S6" s="8">
        <v>287</v>
      </c>
      <c r="T6" s="8">
        <v>502</v>
      </c>
      <c r="U6" s="8">
        <v>636</v>
      </c>
      <c r="V6" s="7">
        <v>1094</v>
      </c>
      <c r="W6" s="7">
        <v>1116</v>
      </c>
      <c r="X6" s="7">
        <v>2310</v>
      </c>
      <c r="Y6" s="7">
        <v>1879</v>
      </c>
      <c r="Z6" s="7">
        <v>4266</v>
      </c>
      <c r="AA6" s="7">
        <v>2909</v>
      </c>
      <c r="AB6" s="7">
        <v>6414</v>
      </c>
      <c r="AC6" s="7">
        <v>3758</v>
      </c>
      <c r="AD6" s="7">
        <v>7936</v>
      </c>
      <c r="AE6" s="7">
        <v>4126</v>
      </c>
      <c r="AF6" s="7">
        <v>9716</v>
      </c>
      <c r="AG6" s="7">
        <v>4964</v>
      </c>
      <c r="AH6" s="7">
        <v>10272</v>
      </c>
      <c r="AI6" s="7">
        <v>5530</v>
      </c>
      <c r="AJ6" s="7">
        <v>9716</v>
      </c>
      <c r="AK6" s="7">
        <v>6475</v>
      </c>
      <c r="AL6" s="7">
        <v>9087</v>
      </c>
      <c r="AM6" s="7">
        <v>7388</v>
      </c>
      <c r="AN6" s="7">
        <v>4233</v>
      </c>
      <c r="AO6" s="7">
        <v>4509</v>
      </c>
      <c r="AP6" s="7">
        <v>1062</v>
      </c>
      <c r="AQ6" s="7">
        <v>1556</v>
      </c>
      <c r="AR6" s="7">
        <v>67247</v>
      </c>
      <c r="AS6" s="7">
        <v>45494</v>
      </c>
      <c r="AT6" s="4"/>
    </row>
    <row r="7" spans="1:50" s="2" customFormat="1" ht="18.600000000000001" customHeight="1" x14ac:dyDescent="0.55000000000000004">
      <c r="A7" s="5" t="s">
        <v>25</v>
      </c>
      <c r="B7" s="8">
        <v>4</v>
      </c>
      <c r="C7" s="8">
        <v>1</v>
      </c>
      <c r="D7" s="8">
        <v>0</v>
      </c>
      <c r="E7" s="8">
        <v>2</v>
      </c>
      <c r="F7" s="8">
        <v>0</v>
      </c>
      <c r="G7" s="8">
        <v>2</v>
      </c>
      <c r="H7" s="8">
        <v>3</v>
      </c>
      <c r="I7" s="8">
        <v>0</v>
      </c>
      <c r="J7" s="8">
        <v>1</v>
      </c>
      <c r="K7" s="8">
        <v>1</v>
      </c>
      <c r="L7" s="8">
        <v>3</v>
      </c>
      <c r="M7" s="8">
        <v>1</v>
      </c>
      <c r="N7" s="8">
        <v>2</v>
      </c>
      <c r="O7" s="8">
        <v>1</v>
      </c>
      <c r="P7" s="8">
        <v>5</v>
      </c>
      <c r="Q7" s="8">
        <v>3</v>
      </c>
      <c r="R7" s="8">
        <v>8</v>
      </c>
      <c r="S7" s="8">
        <v>4</v>
      </c>
      <c r="T7" s="8">
        <v>9</v>
      </c>
      <c r="U7" s="8">
        <v>6</v>
      </c>
      <c r="V7" s="8">
        <v>6</v>
      </c>
      <c r="W7" s="8">
        <v>11</v>
      </c>
      <c r="X7" s="8">
        <v>21</v>
      </c>
      <c r="Y7" s="8">
        <v>13</v>
      </c>
      <c r="Z7" s="8">
        <v>19</v>
      </c>
      <c r="AA7" s="8">
        <v>20</v>
      </c>
      <c r="AB7" s="8">
        <v>36</v>
      </c>
      <c r="AC7" s="8">
        <v>24</v>
      </c>
      <c r="AD7" s="8">
        <v>48</v>
      </c>
      <c r="AE7" s="8">
        <v>40</v>
      </c>
      <c r="AF7" s="8">
        <v>69</v>
      </c>
      <c r="AG7" s="8">
        <v>36</v>
      </c>
      <c r="AH7" s="8">
        <v>96</v>
      </c>
      <c r="AI7" s="8">
        <v>88</v>
      </c>
      <c r="AJ7" s="8">
        <v>107</v>
      </c>
      <c r="AK7" s="8">
        <v>150</v>
      </c>
      <c r="AL7" s="8">
        <v>192</v>
      </c>
      <c r="AM7" s="8">
        <v>283</v>
      </c>
      <c r="AN7" s="8">
        <v>177</v>
      </c>
      <c r="AO7" s="8">
        <v>280</v>
      </c>
      <c r="AP7" s="8">
        <v>69</v>
      </c>
      <c r="AQ7" s="8">
        <v>221</v>
      </c>
      <c r="AR7" s="8">
        <v>875</v>
      </c>
      <c r="AS7" s="7">
        <v>1187</v>
      </c>
      <c r="AT7" s="4"/>
    </row>
    <row r="8" spans="1:50" s="2" customFormat="1" ht="18.600000000000001" customHeight="1" x14ac:dyDescent="0.55000000000000004">
      <c r="A8" s="5" t="s">
        <v>26</v>
      </c>
      <c r="B8" s="8">
        <v>12</v>
      </c>
      <c r="C8" s="8">
        <v>5</v>
      </c>
      <c r="D8" s="8">
        <v>8</v>
      </c>
      <c r="E8" s="8">
        <v>8</v>
      </c>
      <c r="F8" s="8">
        <v>5</v>
      </c>
      <c r="G8" s="8">
        <v>5</v>
      </c>
      <c r="H8" s="8">
        <v>5</v>
      </c>
      <c r="I8" s="8">
        <v>3</v>
      </c>
      <c r="J8" s="8">
        <v>5</v>
      </c>
      <c r="K8" s="8">
        <v>1</v>
      </c>
      <c r="L8" s="8">
        <v>4</v>
      </c>
      <c r="M8" s="8">
        <v>6</v>
      </c>
      <c r="N8" s="8">
        <v>8</v>
      </c>
      <c r="O8" s="8">
        <v>6</v>
      </c>
      <c r="P8" s="8">
        <v>8</v>
      </c>
      <c r="Q8" s="8">
        <v>3</v>
      </c>
      <c r="R8" s="8">
        <v>22</v>
      </c>
      <c r="S8" s="8">
        <v>13</v>
      </c>
      <c r="T8" s="8">
        <v>36</v>
      </c>
      <c r="U8" s="8">
        <v>17</v>
      </c>
      <c r="V8" s="8">
        <v>55</v>
      </c>
      <c r="W8" s="8">
        <v>39</v>
      </c>
      <c r="X8" s="8">
        <v>124</v>
      </c>
      <c r="Y8" s="8">
        <v>45</v>
      </c>
      <c r="Z8" s="8">
        <v>194</v>
      </c>
      <c r="AA8" s="8">
        <v>92</v>
      </c>
      <c r="AB8" s="8">
        <v>298</v>
      </c>
      <c r="AC8" s="8">
        <v>151</v>
      </c>
      <c r="AD8" s="8">
        <v>431</v>
      </c>
      <c r="AE8" s="8">
        <v>205</v>
      </c>
      <c r="AF8" s="8">
        <v>692</v>
      </c>
      <c r="AG8" s="8">
        <v>401</v>
      </c>
      <c r="AH8" s="8">
        <v>862</v>
      </c>
      <c r="AI8" s="8">
        <v>681</v>
      </c>
      <c r="AJ8" s="7">
        <v>1106</v>
      </c>
      <c r="AK8" s="7">
        <v>1337</v>
      </c>
      <c r="AL8" s="7">
        <v>1501</v>
      </c>
      <c r="AM8" s="7">
        <v>2332</v>
      </c>
      <c r="AN8" s="7">
        <v>1021</v>
      </c>
      <c r="AO8" s="7">
        <v>2073</v>
      </c>
      <c r="AP8" s="8">
        <v>338</v>
      </c>
      <c r="AQ8" s="7">
        <v>1132</v>
      </c>
      <c r="AR8" s="7">
        <v>6735</v>
      </c>
      <c r="AS8" s="7">
        <v>8555</v>
      </c>
      <c r="AT8" s="4"/>
    </row>
    <row r="9" spans="1:50" s="2" customFormat="1" ht="18.600000000000001" customHeight="1" x14ac:dyDescent="0.55000000000000004">
      <c r="A9" s="5" t="s">
        <v>27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1</v>
      </c>
      <c r="L9" s="8">
        <v>2</v>
      </c>
      <c r="M9" s="8">
        <v>2</v>
      </c>
      <c r="N9" s="8">
        <v>0</v>
      </c>
      <c r="O9" s="8">
        <v>0</v>
      </c>
      <c r="P9" s="8">
        <v>3</v>
      </c>
      <c r="Q9" s="8">
        <v>1</v>
      </c>
      <c r="R9" s="8">
        <v>8</v>
      </c>
      <c r="S9" s="8">
        <v>7</v>
      </c>
      <c r="T9" s="8">
        <v>10</v>
      </c>
      <c r="U9" s="8">
        <v>6</v>
      </c>
      <c r="V9" s="8">
        <v>30</v>
      </c>
      <c r="W9" s="8">
        <v>9</v>
      </c>
      <c r="X9" s="8">
        <v>54</v>
      </c>
      <c r="Y9" s="8">
        <v>18</v>
      </c>
      <c r="Z9" s="8">
        <v>65</v>
      </c>
      <c r="AA9" s="8">
        <v>21</v>
      </c>
      <c r="AB9" s="8">
        <v>101</v>
      </c>
      <c r="AC9" s="8">
        <v>42</v>
      </c>
      <c r="AD9" s="8">
        <v>184</v>
      </c>
      <c r="AE9" s="8">
        <v>107</v>
      </c>
      <c r="AF9" s="8">
        <v>354</v>
      </c>
      <c r="AG9" s="8">
        <v>292</v>
      </c>
      <c r="AH9" s="8">
        <v>707</v>
      </c>
      <c r="AI9" s="8">
        <v>666</v>
      </c>
      <c r="AJ9" s="7">
        <v>1190</v>
      </c>
      <c r="AK9" s="7">
        <v>1765</v>
      </c>
      <c r="AL9" s="7">
        <v>2033</v>
      </c>
      <c r="AM9" s="7">
        <v>3807</v>
      </c>
      <c r="AN9" s="7">
        <v>1732</v>
      </c>
      <c r="AO9" s="7">
        <v>4689</v>
      </c>
      <c r="AP9" s="8">
        <v>677</v>
      </c>
      <c r="AQ9" s="7">
        <v>3114</v>
      </c>
      <c r="AR9" s="7">
        <v>7150</v>
      </c>
      <c r="AS9" s="7">
        <v>14547</v>
      </c>
      <c r="AT9" s="4"/>
    </row>
    <row r="10" spans="1:50" s="2" customFormat="1" ht="18.600000000000001" customHeight="1" x14ac:dyDescent="0.55000000000000004">
      <c r="A10" s="5" t="s">
        <v>28</v>
      </c>
      <c r="B10" s="8">
        <v>16</v>
      </c>
      <c r="C10" s="8">
        <v>7</v>
      </c>
      <c r="D10" s="8">
        <v>6</v>
      </c>
      <c r="E10" s="8">
        <v>10</v>
      </c>
      <c r="F10" s="8">
        <v>7</v>
      </c>
      <c r="G10" s="8">
        <v>12</v>
      </c>
      <c r="H10" s="8">
        <v>16</v>
      </c>
      <c r="I10" s="8">
        <v>10</v>
      </c>
      <c r="J10" s="8">
        <v>25</v>
      </c>
      <c r="K10" s="8">
        <v>13</v>
      </c>
      <c r="L10" s="8">
        <v>27</v>
      </c>
      <c r="M10" s="8">
        <v>9</v>
      </c>
      <c r="N10" s="8">
        <v>22</v>
      </c>
      <c r="O10" s="8">
        <v>15</v>
      </c>
      <c r="P10" s="8">
        <v>28</v>
      </c>
      <c r="Q10" s="8">
        <v>24</v>
      </c>
      <c r="R10" s="8">
        <v>40</v>
      </c>
      <c r="S10" s="8">
        <v>25</v>
      </c>
      <c r="T10" s="8">
        <v>71</v>
      </c>
      <c r="U10" s="8">
        <v>44</v>
      </c>
      <c r="V10" s="8">
        <v>110</v>
      </c>
      <c r="W10" s="8">
        <v>65</v>
      </c>
      <c r="X10" s="8">
        <v>186</v>
      </c>
      <c r="Y10" s="8">
        <v>129</v>
      </c>
      <c r="Z10" s="8">
        <v>257</v>
      </c>
      <c r="AA10" s="8">
        <v>182</v>
      </c>
      <c r="AB10" s="8">
        <v>337</v>
      </c>
      <c r="AC10" s="8">
        <v>303</v>
      </c>
      <c r="AD10" s="8">
        <v>535</v>
      </c>
      <c r="AE10" s="8">
        <v>452</v>
      </c>
      <c r="AF10" s="8">
        <v>928</v>
      </c>
      <c r="AG10" s="8">
        <v>789</v>
      </c>
      <c r="AH10" s="7">
        <v>1559</v>
      </c>
      <c r="AI10" s="7">
        <v>1626</v>
      </c>
      <c r="AJ10" s="7">
        <v>2087</v>
      </c>
      <c r="AK10" s="7">
        <v>2881</v>
      </c>
      <c r="AL10" s="7">
        <v>2619</v>
      </c>
      <c r="AM10" s="7">
        <v>4856</v>
      </c>
      <c r="AN10" s="7">
        <v>1364</v>
      </c>
      <c r="AO10" s="7">
        <v>3923</v>
      </c>
      <c r="AP10" s="8">
        <v>348</v>
      </c>
      <c r="AQ10" s="7">
        <v>1545</v>
      </c>
      <c r="AR10" s="7">
        <v>10588</v>
      </c>
      <c r="AS10" s="7">
        <v>16920</v>
      </c>
      <c r="AT10" s="4"/>
    </row>
    <row r="11" spans="1:50" s="2" customFormat="1" ht="18.600000000000001" customHeight="1" x14ac:dyDescent="0.55000000000000004">
      <c r="A11" s="5" t="s">
        <v>29</v>
      </c>
      <c r="B11" s="8">
        <v>7</v>
      </c>
      <c r="C11" s="8">
        <v>11</v>
      </c>
      <c r="D11" s="8">
        <v>7</v>
      </c>
      <c r="E11" s="8">
        <v>1</v>
      </c>
      <c r="F11" s="8">
        <v>3</v>
      </c>
      <c r="G11" s="8">
        <v>3</v>
      </c>
      <c r="H11" s="8">
        <v>5</v>
      </c>
      <c r="I11" s="8">
        <v>3</v>
      </c>
      <c r="J11" s="8">
        <v>16</v>
      </c>
      <c r="K11" s="8">
        <v>12</v>
      </c>
      <c r="L11" s="8">
        <v>25</v>
      </c>
      <c r="M11" s="8">
        <v>8</v>
      </c>
      <c r="N11" s="8">
        <v>43</v>
      </c>
      <c r="O11" s="8">
        <v>27</v>
      </c>
      <c r="P11" s="8">
        <v>92</v>
      </c>
      <c r="Q11" s="8">
        <v>32</v>
      </c>
      <c r="R11" s="8">
        <v>214</v>
      </c>
      <c r="S11" s="8">
        <v>84</v>
      </c>
      <c r="T11" s="8">
        <v>439</v>
      </c>
      <c r="U11" s="8">
        <v>153</v>
      </c>
      <c r="V11" s="8">
        <v>873</v>
      </c>
      <c r="W11" s="8">
        <v>278</v>
      </c>
      <c r="X11" s="7">
        <v>1577</v>
      </c>
      <c r="Y11" s="8">
        <v>419</v>
      </c>
      <c r="Z11" s="7">
        <v>2278</v>
      </c>
      <c r="AA11" s="8">
        <v>656</v>
      </c>
      <c r="AB11" s="7">
        <v>3047</v>
      </c>
      <c r="AC11" s="7">
        <v>1026</v>
      </c>
      <c r="AD11" s="7">
        <v>3642</v>
      </c>
      <c r="AE11" s="7">
        <v>1372</v>
      </c>
      <c r="AF11" s="7">
        <v>5029</v>
      </c>
      <c r="AG11" s="7">
        <v>2512</v>
      </c>
      <c r="AH11" s="7">
        <v>6523</v>
      </c>
      <c r="AI11" s="7">
        <v>4444</v>
      </c>
      <c r="AJ11" s="7">
        <v>8675</v>
      </c>
      <c r="AK11" s="7">
        <v>8842</v>
      </c>
      <c r="AL11" s="7">
        <v>11768</v>
      </c>
      <c r="AM11" s="7">
        <v>16623</v>
      </c>
      <c r="AN11" s="7">
        <v>8504</v>
      </c>
      <c r="AO11" s="7">
        <v>17158</v>
      </c>
      <c r="AP11" s="7">
        <v>3179</v>
      </c>
      <c r="AQ11" s="7">
        <v>10243</v>
      </c>
      <c r="AR11" s="7">
        <v>55946</v>
      </c>
      <c r="AS11" s="7">
        <v>63907</v>
      </c>
      <c r="AT11" s="4"/>
    </row>
    <row r="12" spans="1:50" s="2" customFormat="1" ht="18.600000000000001" customHeight="1" x14ac:dyDescent="0.55000000000000004">
      <c r="A12" s="5" t="s">
        <v>30</v>
      </c>
      <c r="B12" s="8">
        <v>1</v>
      </c>
      <c r="C12" s="8">
        <v>2</v>
      </c>
      <c r="D12" s="8">
        <v>8</v>
      </c>
      <c r="E12" s="8">
        <v>5</v>
      </c>
      <c r="F12" s="8">
        <v>1</v>
      </c>
      <c r="G12" s="8">
        <v>2</v>
      </c>
      <c r="H12" s="8">
        <v>4</v>
      </c>
      <c r="I12" s="8">
        <v>4</v>
      </c>
      <c r="J12" s="8">
        <v>10</v>
      </c>
      <c r="K12" s="8">
        <v>4</v>
      </c>
      <c r="L12" s="8">
        <v>23</v>
      </c>
      <c r="M12" s="8">
        <v>8</v>
      </c>
      <c r="N12" s="8">
        <v>15</v>
      </c>
      <c r="O12" s="8">
        <v>7</v>
      </c>
      <c r="P12" s="8">
        <v>36</v>
      </c>
      <c r="Q12" s="8">
        <v>17</v>
      </c>
      <c r="R12" s="8">
        <v>48</v>
      </c>
      <c r="S12" s="8">
        <v>31</v>
      </c>
      <c r="T12" s="8">
        <v>109</v>
      </c>
      <c r="U12" s="8">
        <v>39</v>
      </c>
      <c r="V12" s="8">
        <v>185</v>
      </c>
      <c r="W12" s="8">
        <v>79</v>
      </c>
      <c r="X12" s="8">
        <v>285</v>
      </c>
      <c r="Y12" s="8">
        <v>144</v>
      </c>
      <c r="Z12" s="8">
        <v>480</v>
      </c>
      <c r="AA12" s="8">
        <v>227</v>
      </c>
      <c r="AB12" s="8">
        <v>811</v>
      </c>
      <c r="AC12" s="8">
        <v>321</v>
      </c>
      <c r="AD12" s="7">
        <v>1188</v>
      </c>
      <c r="AE12" s="8">
        <v>531</v>
      </c>
      <c r="AF12" s="7">
        <v>1881</v>
      </c>
      <c r="AG12" s="8">
        <v>818</v>
      </c>
      <c r="AH12" s="7">
        <v>2935</v>
      </c>
      <c r="AI12" s="7">
        <v>1285</v>
      </c>
      <c r="AJ12" s="7">
        <v>4181</v>
      </c>
      <c r="AK12" s="7">
        <v>2642</v>
      </c>
      <c r="AL12" s="7">
        <v>5870</v>
      </c>
      <c r="AM12" s="7">
        <v>4734</v>
      </c>
      <c r="AN12" s="7">
        <v>4151</v>
      </c>
      <c r="AO12" s="7">
        <v>4816</v>
      </c>
      <c r="AP12" s="7">
        <v>1613</v>
      </c>
      <c r="AQ12" s="7">
        <v>2872</v>
      </c>
      <c r="AR12" s="7">
        <v>23835</v>
      </c>
      <c r="AS12" s="7">
        <v>18588</v>
      </c>
      <c r="AT12" s="4"/>
    </row>
    <row r="13" spans="1:50" s="2" customFormat="1" ht="18.600000000000001" customHeight="1" x14ac:dyDescent="0.55000000000000004">
      <c r="A13" s="5" t="s">
        <v>31</v>
      </c>
      <c r="B13" s="8">
        <v>2</v>
      </c>
      <c r="C13" s="8">
        <v>5</v>
      </c>
      <c r="D13" s="8">
        <v>3</v>
      </c>
      <c r="E13" s="8">
        <v>2</v>
      </c>
      <c r="F13" s="8">
        <v>3</v>
      </c>
      <c r="G13" s="8">
        <v>1</v>
      </c>
      <c r="H13" s="8">
        <v>1</v>
      </c>
      <c r="I13" s="8">
        <v>2</v>
      </c>
      <c r="J13" s="8">
        <v>1</v>
      </c>
      <c r="K13" s="8">
        <v>4</v>
      </c>
      <c r="L13" s="8">
        <v>8</v>
      </c>
      <c r="M13" s="8">
        <v>4</v>
      </c>
      <c r="N13" s="8">
        <v>12</v>
      </c>
      <c r="O13" s="8">
        <v>9</v>
      </c>
      <c r="P13" s="8">
        <v>21</v>
      </c>
      <c r="Q13" s="8">
        <v>12</v>
      </c>
      <c r="R13" s="8">
        <v>49</v>
      </c>
      <c r="S13" s="8">
        <v>18</v>
      </c>
      <c r="T13" s="8">
        <v>126</v>
      </c>
      <c r="U13" s="8">
        <v>64</v>
      </c>
      <c r="V13" s="8">
        <v>256</v>
      </c>
      <c r="W13" s="8">
        <v>89</v>
      </c>
      <c r="X13" s="8">
        <v>550</v>
      </c>
      <c r="Y13" s="8">
        <v>175</v>
      </c>
      <c r="Z13" s="8">
        <v>789</v>
      </c>
      <c r="AA13" s="8">
        <v>266</v>
      </c>
      <c r="AB13" s="8">
        <v>882</v>
      </c>
      <c r="AC13" s="8">
        <v>331</v>
      </c>
      <c r="AD13" s="8">
        <v>983</v>
      </c>
      <c r="AE13" s="8">
        <v>391</v>
      </c>
      <c r="AF13" s="7">
        <v>1212</v>
      </c>
      <c r="AG13" s="8">
        <v>588</v>
      </c>
      <c r="AH13" s="7">
        <v>1316</v>
      </c>
      <c r="AI13" s="8">
        <v>961</v>
      </c>
      <c r="AJ13" s="7">
        <v>1540</v>
      </c>
      <c r="AK13" s="7">
        <v>1565</v>
      </c>
      <c r="AL13" s="7">
        <v>1842</v>
      </c>
      <c r="AM13" s="7">
        <v>2593</v>
      </c>
      <c r="AN13" s="7">
        <v>1152</v>
      </c>
      <c r="AO13" s="7">
        <v>2270</v>
      </c>
      <c r="AP13" s="8">
        <v>390</v>
      </c>
      <c r="AQ13" s="7">
        <v>1077</v>
      </c>
      <c r="AR13" s="7">
        <v>11138</v>
      </c>
      <c r="AS13" s="7">
        <v>10427</v>
      </c>
      <c r="AT13" s="4"/>
    </row>
    <row r="14" spans="1:50" s="2" customFormat="1" ht="18.600000000000001" customHeight="1" x14ac:dyDescent="0.55000000000000004">
      <c r="A14" s="5" t="s">
        <v>32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3</v>
      </c>
      <c r="S14" s="8">
        <v>0</v>
      </c>
      <c r="T14" s="8">
        <v>1</v>
      </c>
      <c r="U14" s="8">
        <v>2</v>
      </c>
      <c r="V14" s="8">
        <v>3</v>
      </c>
      <c r="W14" s="8">
        <v>2</v>
      </c>
      <c r="X14" s="8">
        <v>12</v>
      </c>
      <c r="Y14" s="8">
        <v>3</v>
      </c>
      <c r="Z14" s="8">
        <v>14</v>
      </c>
      <c r="AA14" s="8">
        <v>4</v>
      </c>
      <c r="AB14" s="8">
        <v>11</v>
      </c>
      <c r="AC14" s="8">
        <v>9</v>
      </c>
      <c r="AD14" s="8">
        <v>22</v>
      </c>
      <c r="AE14" s="8">
        <v>19</v>
      </c>
      <c r="AF14" s="8">
        <v>61</v>
      </c>
      <c r="AG14" s="8">
        <v>36</v>
      </c>
      <c r="AH14" s="8">
        <v>73</v>
      </c>
      <c r="AI14" s="8">
        <v>101</v>
      </c>
      <c r="AJ14" s="8">
        <v>114</v>
      </c>
      <c r="AK14" s="8">
        <v>185</v>
      </c>
      <c r="AL14" s="8">
        <v>153</v>
      </c>
      <c r="AM14" s="8">
        <v>319</v>
      </c>
      <c r="AN14" s="8">
        <v>128</v>
      </c>
      <c r="AO14" s="8">
        <v>362</v>
      </c>
      <c r="AP14" s="8">
        <v>52</v>
      </c>
      <c r="AQ14" s="8">
        <v>213</v>
      </c>
      <c r="AR14" s="8">
        <v>647</v>
      </c>
      <c r="AS14" s="7">
        <v>1255</v>
      </c>
      <c r="AT14" s="4"/>
    </row>
    <row r="15" spans="1:50" s="2" customFormat="1" ht="18.600000000000001" customHeight="1" x14ac:dyDescent="0.55000000000000004">
      <c r="A15" s="5" t="s">
        <v>33</v>
      </c>
      <c r="B15" s="8">
        <v>0</v>
      </c>
      <c r="C15" s="8">
        <v>1</v>
      </c>
      <c r="D15" s="8">
        <v>0</v>
      </c>
      <c r="E15" s="8">
        <v>0</v>
      </c>
      <c r="F15" s="8">
        <v>0</v>
      </c>
      <c r="G15" s="8">
        <v>0</v>
      </c>
      <c r="H15" s="8">
        <v>1</v>
      </c>
      <c r="I15" s="8">
        <v>1</v>
      </c>
      <c r="J15" s="8">
        <v>1</v>
      </c>
      <c r="K15" s="8">
        <v>0</v>
      </c>
      <c r="L15" s="8">
        <v>1</v>
      </c>
      <c r="M15" s="8">
        <v>0</v>
      </c>
      <c r="N15" s="8">
        <v>1</v>
      </c>
      <c r="O15" s="8">
        <v>0</v>
      </c>
      <c r="P15" s="8">
        <v>0</v>
      </c>
      <c r="Q15" s="8">
        <v>1</v>
      </c>
      <c r="R15" s="8">
        <v>3</v>
      </c>
      <c r="S15" s="8">
        <v>4</v>
      </c>
      <c r="T15" s="8">
        <v>3</v>
      </c>
      <c r="U15" s="8">
        <v>8</v>
      </c>
      <c r="V15" s="8">
        <v>5</v>
      </c>
      <c r="W15" s="8">
        <v>8</v>
      </c>
      <c r="X15" s="8">
        <v>16</v>
      </c>
      <c r="Y15" s="8">
        <v>24</v>
      </c>
      <c r="Z15" s="8">
        <v>32</v>
      </c>
      <c r="AA15" s="8">
        <v>35</v>
      </c>
      <c r="AB15" s="8">
        <v>34</v>
      </c>
      <c r="AC15" s="8">
        <v>36</v>
      </c>
      <c r="AD15" s="8">
        <v>69</v>
      </c>
      <c r="AE15" s="8">
        <v>68</v>
      </c>
      <c r="AF15" s="8">
        <v>83</v>
      </c>
      <c r="AG15" s="8">
        <v>96</v>
      </c>
      <c r="AH15" s="8">
        <v>149</v>
      </c>
      <c r="AI15" s="8">
        <v>221</v>
      </c>
      <c r="AJ15" s="8">
        <v>277</v>
      </c>
      <c r="AK15" s="8">
        <v>472</v>
      </c>
      <c r="AL15" s="8">
        <v>459</v>
      </c>
      <c r="AM15" s="8">
        <v>870</v>
      </c>
      <c r="AN15" s="8">
        <v>419</v>
      </c>
      <c r="AO15" s="8">
        <v>991</v>
      </c>
      <c r="AP15" s="8">
        <v>176</v>
      </c>
      <c r="AQ15" s="8">
        <v>660</v>
      </c>
      <c r="AR15" s="7">
        <v>1729</v>
      </c>
      <c r="AS15" s="7">
        <v>3496</v>
      </c>
      <c r="AT15" s="4"/>
    </row>
    <row r="16" spans="1:50" s="2" customFormat="1" ht="18.600000000000001" customHeight="1" x14ac:dyDescent="0.55000000000000004">
      <c r="A16" s="5" t="s">
        <v>34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1</v>
      </c>
      <c r="H16" s="8">
        <v>1</v>
      </c>
      <c r="I16" s="8">
        <v>0</v>
      </c>
      <c r="J16" s="8">
        <v>0</v>
      </c>
      <c r="K16" s="8">
        <v>0</v>
      </c>
      <c r="L16" s="8">
        <v>1</v>
      </c>
      <c r="M16" s="8">
        <v>0</v>
      </c>
      <c r="N16" s="8">
        <v>0</v>
      </c>
      <c r="O16" s="8">
        <v>1</v>
      </c>
      <c r="P16" s="8">
        <v>4</v>
      </c>
      <c r="Q16" s="8">
        <v>3</v>
      </c>
      <c r="R16" s="8">
        <v>3</v>
      </c>
      <c r="S16" s="8">
        <v>4</v>
      </c>
      <c r="T16" s="8">
        <v>13</v>
      </c>
      <c r="U16" s="8">
        <v>6</v>
      </c>
      <c r="V16" s="8">
        <v>18</v>
      </c>
      <c r="W16" s="8">
        <v>25</v>
      </c>
      <c r="X16" s="8">
        <v>40</v>
      </c>
      <c r="Y16" s="8">
        <v>33</v>
      </c>
      <c r="Z16" s="8">
        <v>65</v>
      </c>
      <c r="AA16" s="8">
        <v>46</v>
      </c>
      <c r="AB16" s="8">
        <v>132</v>
      </c>
      <c r="AC16" s="8">
        <v>66</v>
      </c>
      <c r="AD16" s="8">
        <v>214</v>
      </c>
      <c r="AE16" s="8">
        <v>122</v>
      </c>
      <c r="AF16" s="8">
        <v>426</v>
      </c>
      <c r="AG16" s="8">
        <v>287</v>
      </c>
      <c r="AH16" s="8">
        <v>677</v>
      </c>
      <c r="AI16" s="8">
        <v>589</v>
      </c>
      <c r="AJ16" s="7">
        <v>1248</v>
      </c>
      <c r="AK16" s="7">
        <v>1295</v>
      </c>
      <c r="AL16" s="7">
        <v>1841</v>
      </c>
      <c r="AM16" s="7">
        <v>2494</v>
      </c>
      <c r="AN16" s="7">
        <v>1476</v>
      </c>
      <c r="AO16" s="7">
        <v>2573</v>
      </c>
      <c r="AP16" s="8">
        <v>604</v>
      </c>
      <c r="AQ16" s="7">
        <v>1502</v>
      </c>
      <c r="AR16" s="7">
        <v>6763</v>
      </c>
      <c r="AS16" s="7">
        <v>9047</v>
      </c>
      <c r="AT16" s="4"/>
    </row>
    <row r="17" spans="1:46" s="2" customFormat="1" ht="18.600000000000001" customHeight="1" x14ac:dyDescent="0.55000000000000004">
      <c r="A17" s="5" t="s">
        <v>35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1</v>
      </c>
      <c r="N17" s="8">
        <v>0</v>
      </c>
      <c r="O17" s="8">
        <v>1</v>
      </c>
      <c r="P17" s="8">
        <v>0</v>
      </c>
      <c r="Q17" s="8">
        <v>2</v>
      </c>
      <c r="R17" s="8">
        <v>0</v>
      </c>
      <c r="S17" s="8">
        <v>4</v>
      </c>
      <c r="T17" s="8">
        <v>0</v>
      </c>
      <c r="U17" s="8">
        <v>2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10</v>
      </c>
      <c r="AT17" s="4"/>
    </row>
    <row r="18" spans="1:46" s="2" customFormat="1" ht="18.600000000000001" customHeight="1" x14ac:dyDescent="0.55000000000000004">
      <c r="A18" s="5" t="s">
        <v>36</v>
      </c>
      <c r="B18" s="8">
        <v>272</v>
      </c>
      <c r="C18" s="8">
        <v>218</v>
      </c>
      <c r="D18" s="8">
        <v>2</v>
      </c>
      <c r="E18" s="8">
        <v>1</v>
      </c>
      <c r="F18" s="8">
        <v>0</v>
      </c>
      <c r="G18" s="8">
        <v>1</v>
      </c>
      <c r="H18" s="8">
        <v>1</v>
      </c>
      <c r="I18" s="8">
        <v>0</v>
      </c>
      <c r="J18" s="8">
        <v>3</v>
      </c>
      <c r="K18" s="8">
        <v>1</v>
      </c>
      <c r="L18" s="8">
        <v>0</v>
      </c>
      <c r="M18" s="8">
        <v>2</v>
      </c>
      <c r="N18" s="8">
        <v>2</v>
      </c>
      <c r="O18" s="8">
        <v>0</v>
      </c>
      <c r="P18" s="8">
        <v>1</v>
      </c>
      <c r="Q18" s="8">
        <v>2</v>
      </c>
      <c r="R18" s="8">
        <v>2</v>
      </c>
      <c r="S18" s="8">
        <v>2</v>
      </c>
      <c r="T18" s="8">
        <v>0</v>
      </c>
      <c r="U18" s="8">
        <v>1</v>
      </c>
      <c r="V18" s="8">
        <v>0</v>
      </c>
      <c r="W18" s="8">
        <v>2</v>
      </c>
      <c r="X18" s="8">
        <v>0</v>
      </c>
      <c r="Y18" s="8">
        <v>0</v>
      </c>
      <c r="Z18" s="8">
        <v>0</v>
      </c>
      <c r="AA18" s="8">
        <v>0</v>
      </c>
      <c r="AB18" s="8">
        <v>1</v>
      </c>
      <c r="AC18" s="8">
        <v>0</v>
      </c>
      <c r="AD18" s="8">
        <v>1</v>
      </c>
      <c r="AE18" s="8">
        <v>1</v>
      </c>
      <c r="AF18" s="8">
        <v>0</v>
      </c>
      <c r="AG18" s="8">
        <v>0</v>
      </c>
      <c r="AH18" s="8">
        <v>1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1</v>
      </c>
      <c r="AR18" s="8">
        <v>286</v>
      </c>
      <c r="AS18" s="8">
        <v>232</v>
      </c>
      <c r="AT18" s="4"/>
    </row>
    <row r="19" spans="1:46" s="2" customFormat="1" ht="18.600000000000001" customHeight="1" x14ac:dyDescent="0.55000000000000004">
      <c r="A19" s="5" t="s">
        <v>37</v>
      </c>
      <c r="B19" s="8">
        <v>127</v>
      </c>
      <c r="C19" s="8">
        <v>83</v>
      </c>
      <c r="D19" s="8">
        <v>12</v>
      </c>
      <c r="E19" s="8">
        <v>5</v>
      </c>
      <c r="F19" s="8">
        <v>8</v>
      </c>
      <c r="G19" s="8">
        <v>2</v>
      </c>
      <c r="H19" s="8">
        <v>4</v>
      </c>
      <c r="I19" s="8">
        <v>7</v>
      </c>
      <c r="J19" s="8">
        <v>5</v>
      </c>
      <c r="K19" s="8">
        <v>8</v>
      </c>
      <c r="L19" s="8">
        <v>10</v>
      </c>
      <c r="M19" s="8">
        <v>7</v>
      </c>
      <c r="N19" s="8">
        <v>8</v>
      </c>
      <c r="O19" s="8">
        <v>5</v>
      </c>
      <c r="P19" s="8">
        <v>7</v>
      </c>
      <c r="Q19" s="8">
        <v>6</v>
      </c>
      <c r="R19" s="8">
        <v>7</v>
      </c>
      <c r="S19" s="8">
        <v>13</v>
      </c>
      <c r="T19" s="8">
        <v>11</v>
      </c>
      <c r="U19" s="8">
        <v>12</v>
      </c>
      <c r="V19" s="8">
        <v>25</v>
      </c>
      <c r="W19" s="8">
        <v>19</v>
      </c>
      <c r="X19" s="8">
        <v>28</v>
      </c>
      <c r="Y19" s="8">
        <v>23</v>
      </c>
      <c r="Z19" s="8">
        <v>40</v>
      </c>
      <c r="AA19" s="8">
        <v>37</v>
      </c>
      <c r="AB19" s="8">
        <v>38</v>
      </c>
      <c r="AC19" s="8">
        <v>46</v>
      </c>
      <c r="AD19" s="8">
        <v>27</v>
      </c>
      <c r="AE19" s="8">
        <v>17</v>
      </c>
      <c r="AF19" s="8">
        <v>24</v>
      </c>
      <c r="AG19" s="8">
        <v>17</v>
      </c>
      <c r="AH19" s="8">
        <v>9</v>
      </c>
      <c r="AI19" s="8">
        <v>15</v>
      </c>
      <c r="AJ19" s="8">
        <v>12</v>
      </c>
      <c r="AK19" s="8">
        <v>26</v>
      </c>
      <c r="AL19" s="8">
        <v>11</v>
      </c>
      <c r="AM19" s="8">
        <v>20</v>
      </c>
      <c r="AN19" s="8">
        <v>14</v>
      </c>
      <c r="AO19" s="8">
        <v>15</v>
      </c>
      <c r="AP19" s="8">
        <v>6</v>
      </c>
      <c r="AQ19" s="8">
        <v>7</v>
      </c>
      <c r="AR19" s="8">
        <v>433</v>
      </c>
      <c r="AS19" s="8">
        <v>390</v>
      </c>
      <c r="AT19" s="4"/>
    </row>
    <row r="20" spans="1:46" s="2" customFormat="1" ht="18.600000000000001" customHeight="1" x14ac:dyDescent="0.55000000000000004">
      <c r="A20" s="5" t="s">
        <v>38</v>
      </c>
      <c r="B20" s="8">
        <v>27</v>
      </c>
      <c r="C20" s="8">
        <v>37</v>
      </c>
      <c r="D20" s="8">
        <v>4</v>
      </c>
      <c r="E20" s="8">
        <v>3</v>
      </c>
      <c r="F20" s="8">
        <v>1</v>
      </c>
      <c r="G20" s="8">
        <v>4</v>
      </c>
      <c r="H20" s="8">
        <v>0</v>
      </c>
      <c r="I20" s="8">
        <v>3</v>
      </c>
      <c r="J20" s="8">
        <v>5</v>
      </c>
      <c r="K20" s="8">
        <v>2</v>
      </c>
      <c r="L20" s="8">
        <v>19</v>
      </c>
      <c r="M20" s="8">
        <v>3</v>
      </c>
      <c r="N20" s="8">
        <v>20</v>
      </c>
      <c r="O20" s="8">
        <v>10</v>
      </c>
      <c r="P20" s="8">
        <v>27</v>
      </c>
      <c r="Q20" s="8">
        <v>15</v>
      </c>
      <c r="R20" s="8">
        <v>41</v>
      </c>
      <c r="S20" s="8">
        <v>8</v>
      </c>
      <c r="T20" s="8">
        <v>90</v>
      </c>
      <c r="U20" s="8">
        <v>31</v>
      </c>
      <c r="V20" s="8">
        <v>127</v>
      </c>
      <c r="W20" s="8">
        <v>41</v>
      </c>
      <c r="X20" s="8">
        <v>200</v>
      </c>
      <c r="Y20" s="8">
        <v>60</v>
      </c>
      <c r="Z20" s="8">
        <v>208</v>
      </c>
      <c r="AA20" s="8">
        <v>66</v>
      </c>
      <c r="AB20" s="8">
        <v>235</v>
      </c>
      <c r="AC20" s="8">
        <v>69</v>
      </c>
      <c r="AD20" s="8">
        <v>217</v>
      </c>
      <c r="AE20" s="8">
        <v>90</v>
      </c>
      <c r="AF20" s="8">
        <v>291</v>
      </c>
      <c r="AG20" s="8">
        <v>166</v>
      </c>
      <c r="AH20" s="8">
        <v>344</v>
      </c>
      <c r="AI20" s="8">
        <v>206</v>
      </c>
      <c r="AJ20" s="8">
        <v>479</v>
      </c>
      <c r="AK20" s="8">
        <v>546</v>
      </c>
      <c r="AL20" s="8">
        <v>766</v>
      </c>
      <c r="AM20" s="7">
        <v>1066</v>
      </c>
      <c r="AN20" s="8">
        <v>725</v>
      </c>
      <c r="AO20" s="7">
        <v>1474</v>
      </c>
      <c r="AP20" s="8">
        <v>372</v>
      </c>
      <c r="AQ20" s="7">
        <v>1377</v>
      </c>
      <c r="AR20" s="7">
        <v>4198</v>
      </c>
      <c r="AS20" s="7">
        <v>5277</v>
      </c>
      <c r="AT20" s="4"/>
    </row>
    <row r="21" spans="1:46" s="2" customFormat="1" ht="18.600000000000001" customHeight="1" x14ac:dyDescent="0.55000000000000004">
      <c r="A21" s="5" t="s">
        <v>39</v>
      </c>
      <c r="B21" s="8">
        <v>15</v>
      </c>
      <c r="C21" s="8">
        <v>12</v>
      </c>
      <c r="D21" s="8">
        <v>35</v>
      </c>
      <c r="E21" s="8">
        <v>10</v>
      </c>
      <c r="F21" s="8">
        <v>12</v>
      </c>
      <c r="G21" s="8">
        <v>7</v>
      </c>
      <c r="H21" s="8">
        <v>24</v>
      </c>
      <c r="I21" s="8">
        <v>19</v>
      </c>
      <c r="J21" s="8">
        <v>111</v>
      </c>
      <c r="K21" s="8">
        <v>42</v>
      </c>
      <c r="L21" s="8">
        <v>255</v>
      </c>
      <c r="M21" s="8">
        <v>52</v>
      </c>
      <c r="N21" s="8">
        <v>327</v>
      </c>
      <c r="O21" s="8">
        <v>91</v>
      </c>
      <c r="P21" s="8">
        <v>439</v>
      </c>
      <c r="Q21" s="8">
        <v>74</v>
      </c>
      <c r="R21" s="8">
        <v>487</v>
      </c>
      <c r="S21" s="8">
        <v>133</v>
      </c>
      <c r="T21" s="8">
        <v>688</v>
      </c>
      <c r="U21" s="8">
        <v>181</v>
      </c>
      <c r="V21" s="8">
        <v>754</v>
      </c>
      <c r="W21" s="8">
        <v>183</v>
      </c>
      <c r="X21" s="8">
        <v>821</v>
      </c>
      <c r="Y21" s="8">
        <v>239</v>
      </c>
      <c r="Z21" s="8">
        <v>736</v>
      </c>
      <c r="AA21" s="8">
        <v>244</v>
      </c>
      <c r="AB21" s="8">
        <v>647</v>
      </c>
      <c r="AC21" s="8">
        <v>215</v>
      </c>
      <c r="AD21" s="8">
        <v>580</v>
      </c>
      <c r="AE21" s="8">
        <v>213</v>
      </c>
      <c r="AF21" s="8">
        <v>683</v>
      </c>
      <c r="AG21" s="8">
        <v>303</v>
      </c>
      <c r="AH21" s="8">
        <v>702</v>
      </c>
      <c r="AI21" s="8">
        <v>392</v>
      </c>
      <c r="AJ21" s="8">
        <v>909</v>
      </c>
      <c r="AK21" s="8">
        <v>680</v>
      </c>
      <c r="AL21" s="7">
        <v>1066</v>
      </c>
      <c r="AM21" s="7">
        <v>1109</v>
      </c>
      <c r="AN21" s="8">
        <v>682</v>
      </c>
      <c r="AO21" s="7">
        <v>1049</v>
      </c>
      <c r="AP21" s="8">
        <v>284</v>
      </c>
      <c r="AQ21" s="8">
        <v>573</v>
      </c>
      <c r="AR21" s="7">
        <v>10257</v>
      </c>
      <c r="AS21" s="7">
        <v>5821</v>
      </c>
      <c r="AT21" s="4"/>
    </row>
    <row r="22" spans="1:46" x14ac:dyDescent="0.55000000000000004">
      <c r="A22" s="9" t="s">
        <v>23</v>
      </c>
      <c r="B22" s="10">
        <f>SUM(B3:B21)</f>
        <v>496</v>
      </c>
      <c r="C22" s="10">
        <f t="shared" ref="C22:AS22" si="0">SUM(C3:C21)</f>
        <v>394</v>
      </c>
      <c r="D22" s="10">
        <f t="shared" si="0"/>
        <v>117</v>
      </c>
      <c r="E22" s="10">
        <f t="shared" si="0"/>
        <v>71</v>
      </c>
      <c r="F22" s="10">
        <f t="shared" si="0"/>
        <v>67</v>
      </c>
      <c r="G22" s="10">
        <f t="shared" si="0"/>
        <v>72</v>
      </c>
      <c r="H22" s="10">
        <f t="shared" si="0"/>
        <v>109</v>
      </c>
      <c r="I22" s="10">
        <f t="shared" si="0"/>
        <v>80</v>
      </c>
      <c r="J22" s="10">
        <f t="shared" si="0"/>
        <v>242</v>
      </c>
      <c r="K22" s="10">
        <f t="shared" si="0"/>
        <v>137</v>
      </c>
      <c r="L22" s="10">
        <f t="shared" si="0"/>
        <v>458</v>
      </c>
      <c r="M22" s="10">
        <f t="shared" si="0"/>
        <v>151</v>
      </c>
      <c r="N22" s="10">
        <f t="shared" si="0"/>
        <v>580</v>
      </c>
      <c r="O22" s="10">
        <f t="shared" si="0"/>
        <v>243</v>
      </c>
      <c r="P22" s="10">
        <f t="shared" si="0"/>
        <v>848</v>
      </c>
      <c r="Q22" s="10">
        <f t="shared" si="0"/>
        <v>376</v>
      </c>
      <c r="R22" s="10">
        <f t="shared" si="0"/>
        <v>1250</v>
      </c>
      <c r="S22" s="10">
        <f t="shared" si="0"/>
        <v>685</v>
      </c>
      <c r="T22" s="10">
        <f t="shared" si="0"/>
        <v>2273</v>
      </c>
      <c r="U22" s="10">
        <f t="shared" si="0"/>
        <v>1283</v>
      </c>
      <c r="V22" s="10">
        <f t="shared" si="0"/>
        <v>3912</v>
      </c>
      <c r="W22" s="10">
        <f t="shared" si="0"/>
        <v>2133</v>
      </c>
      <c r="X22" s="10">
        <f t="shared" si="0"/>
        <v>6909</v>
      </c>
      <c r="Y22" s="10">
        <f t="shared" si="0"/>
        <v>3480</v>
      </c>
      <c r="Z22" s="10">
        <f t="shared" si="0"/>
        <v>10547</v>
      </c>
      <c r="AA22" s="10">
        <f t="shared" si="0"/>
        <v>5300</v>
      </c>
      <c r="AB22" s="10">
        <f t="shared" si="0"/>
        <v>14860</v>
      </c>
      <c r="AC22" s="10">
        <f t="shared" si="0"/>
        <v>7107</v>
      </c>
      <c r="AD22" s="10">
        <f t="shared" si="0"/>
        <v>18720</v>
      </c>
      <c r="AE22" s="10">
        <f t="shared" si="0"/>
        <v>8816</v>
      </c>
      <c r="AF22" s="10">
        <f t="shared" si="0"/>
        <v>25542</v>
      </c>
      <c r="AG22" s="10">
        <f t="shared" si="0"/>
        <v>13274</v>
      </c>
      <c r="AH22" s="10">
        <f t="shared" si="0"/>
        <v>32183</v>
      </c>
      <c r="AI22" s="10">
        <f t="shared" si="0"/>
        <v>20192</v>
      </c>
      <c r="AJ22" s="10">
        <f t="shared" si="0"/>
        <v>39211</v>
      </c>
      <c r="AK22" s="10">
        <f t="shared" si="0"/>
        <v>34834</v>
      </c>
      <c r="AL22" s="10">
        <f t="shared" si="0"/>
        <v>48556</v>
      </c>
      <c r="AM22" s="10">
        <f t="shared" si="0"/>
        <v>58838</v>
      </c>
      <c r="AN22" s="10">
        <f t="shared" si="0"/>
        <v>31606</v>
      </c>
      <c r="AO22" s="10">
        <f t="shared" si="0"/>
        <v>55578</v>
      </c>
      <c r="AP22" s="10">
        <f t="shared" si="0"/>
        <v>11178</v>
      </c>
      <c r="AQ22" s="10">
        <f t="shared" si="0"/>
        <v>31068</v>
      </c>
      <c r="AR22" s="10">
        <f t="shared" si="0"/>
        <v>249664</v>
      </c>
      <c r="AS22" s="10">
        <f t="shared" si="0"/>
        <v>244112</v>
      </c>
    </row>
    <row r="23" spans="1:46" x14ac:dyDescent="0.55000000000000004">
      <c r="AR23" s="3"/>
    </row>
    <row r="24" spans="1:46" x14ac:dyDescent="0.55000000000000004">
      <c r="AR24" s="3"/>
    </row>
    <row r="25" spans="1:46" x14ac:dyDescent="0.55000000000000004">
      <c r="AR25" s="3"/>
    </row>
    <row r="26" spans="1:46" x14ac:dyDescent="0.55000000000000004">
      <c r="AR26" s="3"/>
    </row>
    <row r="27" spans="1:46" x14ac:dyDescent="0.55000000000000004">
      <c r="AR27" s="3"/>
    </row>
    <row r="28" spans="1:46" x14ac:dyDescent="0.55000000000000004">
      <c r="AQ28" s="3"/>
    </row>
    <row r="29" spans="1:46" x14ac:dyDescent="0.55000000000000004">
      <c r="AQ29" s="3"/>
    </row>
    <row r="30" spans="1:46" x14ac:dyDescent="0.55000000000000004">
      <c r="AQ30" s="3"/>
    </row>
    <row r="31" spans="1:46" x14ac:dyDescent="0.55000000000000004">
      <c r="AQ31" s="3"/>
    </row>
    <row r="32" spans="1:46" x14ac:dyDescent="0.55000000000000004">
      <c r="AQ32" s="3"/>
    </row>
    <row r="33" spans="43:43" x14ac:dyDescent="0.55000000000000004">
      <c r="AQ33" s="3"/>
    </row>
    <row r="34" spans="43:43" x14ac:dyDescent="0.55000000000000004">
      <c r="AQ34" s="3"/>
    </row>
    <row r="35" spans="43:43" x14ac:dyDescent="0.55000000000000004">
      <c r="AQ35" s="3"/>
    </row>
    <row r="36" spans="43:43" x14ac:dyDescent="0.55000000000000004">
      <c r="AQ36" s="3"/>
    </row>
    <row r="37" spans="43:43" x14ac:dyDescent="0.55000000000000004">
      <c r="AQ37" s="3"/>
    </row>
    <row r="38" spans="43:43" x14ac:dyDescent="0.55000000000000004">
      <c r="AQ38" s="3"/>
    </row>
    <row r="39" spans="43:43" x14ac:dyDescent="0.55000000000000004">
      <c r="AQ39" s="3"/>
    </row>
    <row r="40" spans="43:43" x14ac:dyDescent="0.55000000000000004">
      <c r="AQ40" s="3"/>
    </row>
    <row r="41" spans="43:43" x14ac:dyDescent="0.55000000000000004">
      <c r="AQ41" s="3"/>
    </row>
    <row r="42" spans="43:43" x14ac:dyDescent="0.55000000000000004">
      <c r="AQ42" s="3"/>
    </row>
    <row r="43" spans="43:43" x14ac:dyDescent="0.55000000000000004">
      <c r="AQ43" s="3"/>
    </row>
    <row r="44" spans="43:43" x14ac:dyDescent="0.55000000000000004">
      <c r="AQ44" s="3"/>
    </row>
    <row r="45" spans="43:43" x14ac:dyDescent="0.55000000000000004">
      <c r="AQ45" s="3"/>
    </row>
    <row r="46" spans="43:43" x14ac:dyDescent="0.55000000000000004">
      <c r="AQ46" s="3"/>
    </row>
    <row r="47" spans="43:43" x14ac:dyDescent="0.55000000000000004">
      <c r="AQ47" s="3"/>
    </row>
    <row r="48" spans="43:43" x14ac:dyDescent="0.55000000000000004">
      <c r="AQ48" s="3"/>
    </row>
    <row r="49" spans="43:43" x14ac:dyDescent="0.55000000000000004">
      <c r="AQ49" s="3"/>
    </row>
    <row r="50" spans="43:43" x14ac:dyDescent="0.55000000000000004">
      <c r="AQ50" s="3"/>
    </row>
    <row r="51" spans="43:43" x14ac:dyDescent="0.55000000000000004">
      <c r="AQ51" s="3"/>
    </row>
    <row r="52" spans="43:43" x14ac:dyDescent="0.55000000000000004">
      <c r="AQ52" s="3"/>
    </row>
    <row r="53" spans="43:43" x14ac:dyDescent="0.55000000000000004">
      <c r="AQ53" s="3"/>
    </row>
    <row r="54" spans="43:43" x14ac:dyDescent="0.55000000000000004">
      <c r="AQ54" s="3"/>
    </row>
    <row r="55" spans="43:43" x14ac:dyDescent="0.55000000000000004">
      <c r="AQ55" s="3"/>
    </row>
    <row r="56" spans="43:43" x14ac:dyDescent="0.55000000000000004">
      <c r="AQ56" s="3"/>
    </row>
    <row r="57" spans="43:43" x14ac:dyDescent="0.55000000000000004">
      <c r="AQ57" s="3"/>
    </row>
    <row r="58" spans="43:43" x14ac:dyDescent="0.55000000000000004">
      <c r="AQ58" s="3"/>
    </row>
    <row r="59" spans="43:43" x14ac:dyDescent="0.55000000000000004">
      <c r="AQ59" s="3"/>
    </row>
    <row r="60" spans="43:43" x14ac:dyDescent="0.55000000000000004">
      <c r="AQ60" s="3"/>
    </row>
    <row r="61" spans="43:43" x14ac:dyDescent="0.55000000000000004">
      <c r="AQ61" s="3"/>
    </row>
    <row r="62" spans="43:43" x14ac:dyDescent="0.55000000000000004">
      <c r="AQ62" s="3"/>
    </row>
    <row r="63" spans="43:43" x14ac:dyDescent="0.55000000000000004">
      <c r="AQ63" s="3"/>
    </row>
    <row r="64" spans="43:43" x14ac:dyDescent="0.55000000000000004">
      <c r="AQ64" s="3"/>
    </row>
    <row r="65" spans="43:43" x14ac:dyDescent="0.55000000000000004">
      <c r="AQ65" s="3"/>
    </row>
    <row r="66" spans="43:43" x14ac:dyDescent="0.55000000000000004">
      <c r="AQ66" s="3"/>
    </row>
    <row r="67" spans="43:43" x14ac:dyDescent="0.55000000000000004">
      <c r="AQ67" s="3"/>
    </row>
    <row r="68" spans="43:43" x14ac:dyDescent="0.55000000000000004">
      <c r="AQ68" s="3"/>
    </row>
    <row r="69" spans="43:43" x14ac:dyDescent="0.55000000000000004">
      <c r="AQ69" s="3"/>
    </row>
    <row r="70" spans="43:43" x14ac:dyDescent="0.55000000000000004">
      <c r="AQ70" s="3"/>
    </row>
    <row r="71" spans="43:43" x14ac:dyDescent="0.55000000000000004">
      <c r="AQ71" s="3"/>
    </row>
    <row r="72" spans="43:43" x14ac:dyDescent="0.55000000000000004">
      <c r="AQ72" s="3"/>
    </row>
    <row r="73" spans="43:43" x14ac:dyDescent="0.55000000000000004">
      <c r="AQ73" s="3"/>
    </row>
    <row r="74" spans="43:43" x14ac:dyDescent="0.55000000000000004">
      <c r="AQ74" s="3"/>
    </row>
    <row r="75" spans="43:43" x14ac:dyDescent="0.55000000000000004">
      <c r="AQ75" s="3"/>
    </row>
    <row r="76" spans="43:43" x14ac:dyDescent="0.55000000000000004">
      <c r="AQ76" s="3"/>
    </row>
    <row r="77" spans="43:43" x14ac:dyDescent="0.55000000000000004">
      <c r="AQ77" s="3"/>
    </row>
    <row r="78" spans="43:43" x14ac:dyDescent="0.55000000000000004">
      <c r="AQ78" s="3"/>
    </row>
    <row r="79" spans="43:43" x14ac:dyDescent="0.55000000000000004">
      <c r="AQ79" s="3"/>
    </row>
    <row r="80" spans="43:43" x14ac:dyDescent="0.55000000000000004">
      <c r="AQ80" s="3"/>
    </row>
    <row r="81" spans="1:43" x14ac:dyDescent="0.55000000000000004">
      <c r="AQ81" s="3"/>
    </row>
    <row r="82" spans="1:43" x14ac:dyDescent="0.55000000000000004">
      <c r="AQ82" s="3"/>
    </row>
    <row r="83" spans="1:43" x14ac:dyDescent="0.55000000000000004">
      <c r="AQ83" s="3"/>
    </row>
    <row r="84" spans="1:43" x14ac:dyDescent="0.55000000000000004">
      <c r="AQ84" s="3"/>
    </row>
    <row r="85" spans="1:43" x14ac:dyDescent="0.55000000000000004">
      <c r="AQ85" s="3"/>
    </row>
    <row r="86" spans="1:43" x14ac:dyDescent="0.55000000000000004">
      <c r="AQ86" s="3"/>
    </row>
    <row r="87" spans="1:43" x14ac:dyDescent="0.55000000000000004">
      <c r="AQ87" s="3"/>
    </row>
    <row r="88" spans="1:43" x14ac:dyDescent="0.55000000000000004">
      <c r="AQ88" s="3"/>
    </row>
    <row r="89" spans="1:43" x14ac:dyDescent="0.55000000000000004">
      <c r="AQ89" s="3"/>
    </row>
    <row r="90" spans="1:43" x14ac:dyDescent="0.55000000000000004">
      <c r="AQ90" s="3"/>
    </row>
    <row r="91" spans="1:43" x14ac:dyDescent="0.55000000000000004">
      <c r="AQ91" s="3"/>
    </row>
    <row r="92" spans="1:43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3" x14ac:dyDescent="0.55000000000000004">
      <c r="AQ93" s="3"/>
    </row>
    <row r="94" spans="1:43" x14ac:dyDescent="0.55000000000000004">
      <c r="AQ94" s="3"/>
    </row>
  </sheetData>
  <mergeCells count="22">
    <mergeCell ref="B1:C1"/>
    <mergeCell ref="D1:E1"/>
    <mergeCell ref="F1:G1"/>
    <mergeCell ref="H1:I1"/>
    <mergeCell ref="J1:K1"/>
    <mergeCell ref="AH1:AI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J1:AK1"/>
    <mergeCell ref="AL1:AM1"/>
    <mergeCell ref="AN1:AO1"/>
    <mergeCell ref="AP1:AQ1"/>
    <mergeCell ref="AR1:AS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14"/>
  <sheetViews>
    <sheetView topLeftCell="D1" zoomScale="80" zoomScaleNormal="80" workbookViewId="0">
      <selection activeCell="G27" sqref="G27"/>
    </sheetView>
  </sheetViews>
  <sheetFormatPr defaultRowHeight="14.4" x14ac:dyDescent="0.55000000000000004"/>
  <cols>
    <col min="2" max="2" width="15.1015625" bestFit="1" customWidth="1"/>
    <col min="3" max="3" width="15.1015625" customWidth="1"/>
    <col min="4" max="5" width="17.20703125" customWidth="1"/>
    <col min="6" max="8" width="12.41796875" bestFit="1" customWidth="1"/>
    <col min="9" max="9" width="8.89453125" customWidth="1"/>
    <col min="10" max="10" width="9.41796875" customWidth="1"/>
    <col min="11" max="11" width="10.20703125" customWidth="1"/>
    <col min="12" max="12" width="11.68359375" customWidth="1"/>
    <col min="13" max="13" width="12.41796875" customWidth="1"/>
    <col min="14" max="14" width="12.89453125" customWidth="1"/>
    <col min="15" max="15" width="10.1015625" customWidth="1"/>
    <col min="22" max="22" width="14.20703125" customWidth="1"/>
    <col min="23" max="23" width="13.68359375" customWidth="1"/>
  </cols>
  <sheetData>
    <row r="1" spans="1:23" ht="14.4" customHeight="1" x14ac:dyDescent="0.55000000000000004">
      <c r="A1" s="14"/>
      <c r="B1" s="15" t="s">
        <v>44</v>
      </c>
      <c r="C1" s="15" t="s">
        <v>45</v>
      </c>
      <c r="D1" s="15" t="s">
        <v>44</v>
      </c>
      <c r="E1" s="15" t="s">
        <v>45</v>
      </c>
      <c r="G1" s="148" t="s">
        <v>104</v>
      </c>
      <c r="H1" s="148"/>
    </row>
    <row r="2" spans="1:23" ht="14.4" customHeight="1" x14ac:dyDescent="0.55000000000000004">
      <c r="B2" s="147" t="s">
        <v>42</v>
      </c>
      <c r="C2" s="147"/>
      <c r="D2" s="146" t="s">
        <v>43</v>
      </c>
      <c r="E2" s="146"/>
      <c r="G2" s="84" t="s">
        <v>101</v>
      </c>
      <c r="H2" s="88" t="s">
        <v>102</v>
      </c>
      <c r="U2" s="23" t="s">
        <v>66</v>
      </c>
      <c r="V2" s="23" t="s">
        <v>107</v>
      </c>
      <c r="W2" s="23" t="s">
        <v>110</v>
      </c>
    </row>
    <row r="3" spans="1:23" ht="14.4" customHeight="1" x14ac:dyDescent="0.55000000000000004">
      <c r="A3" s="9">
        <v>0</v>
      </c>
      <c r="B3" s="17">
        <v>174641</v>
      </c>
      <c r="C3" s="17">
        <v>185084</v>
      </c>
      <c r="D3" s="17">
        <v>166335</v>
      </c>
      <c r="E3" s="17">
        <v>174857</v>
      </c>
      <c r="G3" s="93">
        <f>E3/$C$26*100</f>
        <v>0.36942181222666154</v>
      </c>
      <c r="H3" s="93">
        <f>-C3/$C$26*100</f>
        <v>-0.3910284786663355</v>
      </c>
      <c r="U3" s="6">
        <v>0</v>
      </c>
      <c r="V3" s="21">
        <v>0.5</v>
      </c>
      <c r="W3" s="59">
        <f>SUM(C3,E3)</f>
        <v>359941</v>
      </c>
    </row>
    <row r="4" spans="1:23" x14ac:dyDescent="0.55000000000000004">
      <c r="A4" s="18" t="s">
        <v>2</v>
      </c>
      <c r="B4" s="17">
        <v>815315.91082999995</v>
      </c>
      <c r="C4" s="17">
        <v>849797.84378399991</v>
      </c>
      <c r="D4" s="17">
        <v>769961.181125</v>
      </c>
      <c r="E4" s="17">
        <v>802146.42972599994</v>
      </c>
      <c r="G4" s="93">
        <f t="shared" ref="G4:G23" si="0">E4/$C$26*100</f>
        <v>1.6947013144485226</v>
      </c>
      <c r="H4" s="93">
        <f t="shared" ref="H4:H23" si="1">-C4/$C$26*100</f>
        <v>-1.7953748461714127</v>
      </c>
      <c r="U4" s="28" t="s">
        <v>2</v>
      </c>
      <c r="V4" s="21">
        <v>2.5</v>
      </c>
      <c r="W4" s="59">
        <f t="shared" ref="W4:W23" si="2">SUM(C4,E4)</f>
        <v>1651944.2735099997</v>
      </c>
    </row>
    <row r="5" spans="1:23" ht="14.4" customHeight="1" x14ac:dyDescent="0.55000000000000004">
      <c r="A5" s="19" t="s">
        <v>3</v>
      </c>
      <c r="B5" s="17">
        <v>1182656.165336</v>
      </c>
      <c r="C5" s="17">
        <v>1201414.9500189999</v>
      </c>
      <c r="D5" s="17">
        <v>1111875.885799</v>
      </c>
      <c r="E5" s="17">
        <v>1128793.5146649999</v>
      </c>
      <c r="G5" s="93">
        <f t="shared" si="0"/>
        <v>2.3848112790294178</v>
      </c>
      <c r="H5" s="93">
        <f t="shared" si="1"/>
        <v>-2.5382391787130221</v>
      </c>
      <c r="U5" s="29" t="s">
        <v>3</v>
      </c>
      <c r="V5" s="21">
        <v>7</v>
      </c>
      <c r="W5" s="59">
        <f t="shared" si="2"/>
        <v>2330208.4646839998</v>
      </c>
    </row>
    <row r="6" spans="1:23" x14ac:dyDescent="0.55000000000000004">
      <c r="A6" s="19" t="s">
        <v>5</v>
      </c>
      <c r="B6" s="17">
        <v>1310725.2894619999</v>
      </c>
      <c r="C6" s="17">
        <v>1308405.6781200001</v>
      </c>
      <c r="D6" s="17">
        <v>1227804.71254</v>
      </c>
      <c r="E6" s="17">
        <v>1226655.0882660002</v>
      </c>
      <c r="G6" s="93">
        <f t="shared" si="0"/>
        <v>2.5915642249625765</v>
      </c>
      <c r="H6" s="93">
        <f t="shared" si="1"/>
        <v>-2.7642793639302088</v>
      </c>
      <c r="U6" s="29" t="s">
        <v>5</v>
      </c>
      <c r="V6" s="21">
        <v>12</v>
      </c>
      <c r="W6" s="59">
        <f t="shared" si="2"/>
        <v>2535060.7663860004</v>
      </c>
    </row>
    <row r="7" spans="1:23" ht="14.4" customHeight="1" x14ac:dyDescent="0.55000000000000004">
      <c r="A7" s="16" t="s">
        <v>4</v>
      </c>
      <c r="B7" s="17">
        <v>1259327.745016</v>
      </c>
      <c r="C7" s="17">
        <v>1240778.35145</v>
      </c>
      <c r="D7" s="17">
        <v>1178983.4111259999</v>
      </c>
      <c r="E7" s="17">
        <v>1159214.734807</v>
      </c>
      <c r="G7" s="93">
        <f t="shared" si="0"/>
        <v>2.4490824393204211</v>
      </c>
      <c r="H7" s="93">
        <f t="shared" si="1"/>
        <v>-2.6214025584578744</v>
      </c>
      <c r="U7" s="6" t="s">
        <v>4</v>
      </c>
      <c r="V7" s="21">
        <v>17</v>
      </c>
      <c r="W7" s="59">
        <f t="shared" si="2"/>
        <v>2399993.086257</v>
      </c>
    </row>
    <row r="8" spans="1:23" x14ac:dyDescent="0.55000000000000004">
      <c r="A8" s="16" t="s">
        <v>6</v>
      </c>
      <c r="B8" s="17">
        <v>1228307.144693</v>
      </c>
      <c r="C8" s="17">
        <v>1203843.353507</v>
      </c>
      <c r="D8" s="17">
        <v>1164436.5950259999</v>
      </c>
      <c r="E8" s="17">
        <v>1148341.861329</v>
      </c>
      <c r="G8" s="93">
        <f t="shared" si="0"/>
        <v>2.426111230707932</v>
      </c>
      <c r="H8" s="93">
        <f t="shared" si="1"/>
        <v>-2.543369686598635</v>
      </c>
      <c r="U8" s="6" t="s">
        <v>6</v>
      </c>
      <c r="V8" s="21">
        <v>22</v>
      </c>
      <c r="W8" s="59">
        <f t="shared" si="2"/>
        <v>2352185.214836</v>
      </c>
    </row>
    <row r="9" spans="1:23" ht="14.4" customHeight="1" x14ac:dyDescent="0.55000000000000004">
      <c r="A9" s="16" t="s">
        <v>7</v>
      </c>
      <c r="B9" s="17">
        <v>1283969.3690790001</v>
      </c>
      <c r="C9" s="17">
        <v>1287412.491686</v>
      </c>
      <c r="D9" s="17">
        <v>1247889.833501</v>
      </c>
      <c r="E9" s="17">
        <v>1257566.604845</v>
      </c>
      <c r="G9" s="93">
        <f t="shared" si="0"/>
        <v>2.6568712385410356</v>
      </c>
      <c r="H9" s="93">
        <f t="shared" si="1"/>
        <v>-2.7199268874673819</v>
      </c>
      <c r="U9" s="6" t="s">
        <v>7</v>
      </c>
      <c r="V9" s="21">
        <v>27</v>
      </c>
      <c r="W9" s="59">
        <f t="shared" si="2"/>
        <v>2544979.096531</v>
      </c>
    </row>
    <row r="10" spans="1:23" x14ac:dyDescent="0.55000000000000004">
      <c r="A10" s="16" t="s">
        <v>8</v>
      </c>
      <c r="B10" s="17">
        <v>1373685.0567340001</v>
      </c>
      <c r="C10" s="17">
        <v>1386532.038197</v>
      </c>
      <c r="D10" s="17">
        <v>1371909.9804750001</v>
      </c>
      <c r="E10" s="17">
        <v>1391723.746388</v>
      </c>
      <c r="G10" s="93">
        <f t="shared" si="0"/>
        <v>2.9403061273471103</v>
      </c>
      <c r="H10" s="93">
        <f t="shared" si="1"/>
        <v>-2.9293375630433012</v>
      </c>
      <c r="U10" s="6" t="s">
        <v>8</v>
      </c>
      <c r="V10" s="21">
        <v>32</v>
      </c>
      <c r="W10" s="59">
        <f t="shared" si="2"/>
        <v>2778255.784585</v>
      </c>
    </row>
    <row r="11" spans="1:23" ht="14.4" customHeight="1" x14ac:dyDescent="0.55000000000000004">
      <c r="A11" s="16" t="s">
        <v>9</v>
      </c>
      <c r="B11" s="17">
        <v>1588932.0487939999</v>
      </c>
      <c r="C11" s="17">
        <v>1655991.6088719997</v>
      </c>
      <c r="D11" s="17">
        <v>1607492.8753590002</v>
      </c>
      <c r="E11" s="17">
        <v>1669073.8978989997</v>
      </c>
      <c r="G11" s="93">
        <f t="shared" si="0"/>
        <v>3.5262660579906226</v>
      </c>
      <c r="H11" s="93">
        <f t="shared" si="1"/>
        <v>-3.4986269991000594</v>
      </c>
      <c r="U11" s="6" t="s">
        <v>9</v>
      </c>
      <c r="V11" s="21">
        <v>37</v>
      </c>
      <c r="W11" s="59">
        <f t="shared" si="2"/>
        <v>3325065.5067709992</v>
      </c>
    </row>
    <row r="12" spans="1:23" x14ac:dyDescent="0.55000000000000004">
      <c r="A12" s="16" t="s">
        <v>10</v>
      </c>
      <c r="B12" s="17">
        <v>1949687.667386</v>
      </c>
      <c r="C12" s="17">
        <v>1992696.7970550002</v>
      </c>
      <c r="D12" s="17">
        <v>1935065.927191</v>
      </c>
      <c r="E12" s="17">
        <v>1962291.0236479999</v>
      </c>
      <c r="G12" s="93">
        <f t="shared" si="0"/>
        <v>4.1457482747167962</v>
      </c>
      <c r="H12" s="93">
        <f t="shared" si="1"/>
        <v>-4.2099868005645886</v>
      </c>
      <c r="U12" s="6" t="s">
        <v>10</v>
      </c>
      <c r="V12" s="21">
        <v>42</v>
      </c>
      <c r="W12" s="59">
        <f t="shared" si="2"/>
        <v>3954987.8207029998</v>
      </c>
    </row>
    <row r="13" spans="1:23" ht="14.4" customHeight="1" x14ac:dyDescent="0.55000000000000004">
      <c r="A13" s="16" t="s">
        <v>11</v>
      </c>
      <c r="B13" s="17">
        <v>1982306.2896400001</v>
      </c>
      <c r="C13" s="17">
        <v>1956277.035311</v>
      </c>
      <c r="D13" s="17">
        <v>1949746.1476699999</v>
      </c>
      <c r="E13" s="17">
        <v>1922352.435022</v>
      </c>
      <c r="G13" s="93">
        <f t="shared" si="0"/>
        <v>4.061369692286628</v>
      </c>
      <c r="H13" s="93">
        <f t="shared" si="1"/>
        <v>-4.1330424724317032</v>
      </c>
      <c r="U13" s="6" t="s">
        <v>11</v>
      </c>
      <c r="V13" s="21">
        <v>47</v>
      </c>
      <c r="W13" s="59">
        <f t="shared" si="2"/>
        <v>3878629.4703329997</v>
      </c>
    </row>
    <row r="14" spans="1:23" x14ac:dyDescent="0.55000000000000004">
      <c r="A14" s="16" t="s">
        <v>12</v>
      </c>
      <c r="B14" s="17">
        <v>1847825.756878</v>
      </c>
      <c r="C14" s="17">
        <v>1829153.7506889999</v>
      </c>
      <c r="D14" s="17">
        <v>1852725.194443</v>
      </c>
      <c r="E14" s="17">
        <v>1837769.839562</v>
      </c>
      <c r="G14" s="93">
        <f t="shared" si="0"/>
        <v>3.8826713519418443</v>
      </c>
      <c r="H14" s="93">
        <f t="shared" si="1"/>
        <v>-3.8644680705989773</v>
      </c>
      <c r="U14" s="6" t="s">
        <v>12</v>
      </c>
      <c r="V14" s="21">
        <v>52</v>
      </c>
      <c r="W14" s="59">
        <f t="shared" si="2"/>
        <v>3666923.5902509997</v>
      </c>
    </row>
    <row r="15" spans="1:23" ht="14.4" customHeight="1" x14ac:dyDescent="0.55000000000000004">
      <c r="A15" s="16" t="s">
        <v>13</v>
      </c>
      <c r="B15" s="17">
        <v>1688390.0297920001</v>
      </c>
      <c r="C15" s="17">
        <v>1658246.6504250001</v>
      </c>
      <c r="D15" s="17">
        <v>1740774.0473090003</v>
      </c>
      <c r="E15" s="17">
        <v>1710032.4818490001</v>
      </c>
      <c r="G15" s="93">
        <f t="shared" si="0"/>
        <v>3.612799592873682</v>
      </c>
      <c r="H15" s="93">
        <f t="shared" si="1"/>
        <v>-3.5033912438094839</v>
      </c>
      <c r="U15" s="6" t="s">
        <v>13</v>
      </c>
      <c r="V15" s="21">
        <v>57</v>
      </c>
      <c r="W15" s="59">
        <f t="shared" si="2"/>
        <v>3368279.132274</v>
      </c>
    </row>
    <row r="16" spans="1:23" x14ac:dyDescent="0.55000000000000004">
      <c r="A16" s="16" t="s">
        <v>14</v>
      </c>
      <c r="B16" s="17">
        <v>1464713.3509120001</v>
      </c>
      <c r="C16" s="17">
        <v>1416706.8580070001</v>
      </c>
      <c r="D16" s="17">
        <v>1552291.1553739998</v>
      </c>
      <c r="E16" s="17">
        <v>1502138.5870239998</v>
      </c>
      <c r="G16" s="93">
        <f t="shared" si="0"/>
        <v>3.1735804630869953</v>
      </c>
      <c r="H16" s="93">
        <f t="shared" si="1"/>
        <v>-2.9930881513401562</v>
      </c>
      <c r="U16" s="6" t="s">
        <v>14</v>
      </c>
      <c r="V16" s="21">
        <v>62</v>
      </c>
      <c r="W16" s="59">
        <f t="shared" si="2"/>
        <v>2918845.4450309998</v>
      </c>
    </row>
    <row r="17" spans="1:23" ht="14.4" customHeight="1" x14ac:dyDescent="0.55000000000000004">
      <c r="A17" s="16" t="s">
        <v>15</v>
      </c>
      <c r="B17" s="17">
        <v>1187560.6054739999</v>
      </c>
      <c r="C17" s="17">
        <v>1160177.6192840002</v>
      </c>
      <c r="D17" s="17">
        <v>1303095.715569</v>
      </c>
      <c r="E17" s="17">
        <v>1271581.69098</v>
      </c>
      <c r="G17" s="93">
        <f t="shared" si="0"/>
        <v>2.686481025501263</v>
      </c>
      <c r="H17" s="93">
        <f t="shared" si="1"/>
        <v>-2.4511167332203412</v>
      </c>
      <c r="U17" s="6" t="s">
        <v>15</v>
      </c>
      <c r="V17" s="21">
        <v>67</v>
      </c>
      <c r="W17" s="59">
        <f t="shared" si="2"/>
        <v>2431759.3102640002</v>
      </c>
    </row>
    <row r="18" spans="1:23" x14ac:dyDescent="0.55000000000000004">
      <c r="A18" s="16" t="s">
        <v>16</v>
      </c>
      <c r="B18" s="17">
        <v>1024937.861487</v>
      </c>
      <c r="C18" s="17">
        <v>1028566.103591</v>
      </c>
      <c r="D18" s="17">
        <v>1190297.3994339998</v>
      </c>
      <c r="E18" s="17">
        <v>1195758.0264910001</v>
      </c>
      <c r="G18" s="93">
        <f t="shared" si="0"/>
        <v>2.5262877501666026</v>
      </c>
      <c r="H18" s="93">
        <f t="shared" si="1"/>
        <v>-2.1730600089416114</v>
      </c>
      <c r="U18" s="6" t="s">
        <v>16</v>
      </c>
      <c r="V18" s="21">
        <v>72</v>
      </c>
      <c r="W18" s="59">
        <f t="shared" si="2"/>
        <v>2224324.130082</v>
      </c>
    </row>
    <row r="19" spans="1:23" ht="14.4" customHeight="1" x14ac:dyDescent="0.55000000000000004">
      <c r="A19" s="16" t="s">
        <v>17</v>
      </c>
      <c r="B19" s="17">
        <v>791420.92440399993</v>
      </c>
      <c r="C19" s="17">
        <v>782021.30897899996</v>
      </c>
      <c r="D19" s="17">
        <v>990172.96458799997</v>
      </c>
      <c r="E19" s="17">
        <v>978158.60904500005</v>
      </c>
      <c r="G19" s="93">
        <f t="shared" si="0"/>
        <v>2.0665636834585657</v>
      </c>
      <c r="H19" s="93">
        <f t="shared" si="1"/>
        <v>-1.6521828074534517</v>
      </c>
      <c r="U19" s="6" t="s">
        <v>17</v>
      </c>
      <c r="V19" s="21">
        <v>77</v>
      </c>
      <c r="W19" s="59">
        <f t="shared" si="2"/>
        <v>1760179.918024</v>
      </c>
    </row>
    <row r="20" spans="1:23" x14ac:dyDescent="0.55000000000000004">
      <c r="A20" s="16" t="s">
        <v>18</v>
      </c>
      <c r="B20" s="17">
        <v>533546.00712100009</v>
      </c>
      <c r="C20" s="17">
        <v>520934.37720799999</v>
      </c>
      <c r="D20" s="17">
        <v>773764.04770800006</v>
      </c>
      <c r="E20" s="17">
        <v>762743.54011900001</v>
      </c>
      <c r="G20" s="93">
        <f t="shared" si="0"/>
        <v>1.6114545077116749</v>
      </c>
      <c r="H20" s="93">
        <f t="shared" si="1"/>
        <v>-1.1005823140014219</v>
      </c>
      <c r="U20" s="6" t="s">
        <v>18</v>
      </c>
      <c r="V20" s="21">
        <v>82</v>
      </c>
      <c r="W20" s="59">
        <f t="shared" si="2"/>
        <v>1283677.9173270001</v>
      </c>
    </row>
    <row r="21" spans="1:23" ht="14.4" customHeight="1" x14ac:dyDescent="0.55000000000000004">
      <c r="A21" s="16" t="s">
        <v>19</v>
      </c>
      <c r="B21" s="17">
        <v>366343.86362299998</v>
      </c>
      <c r="C21" s="17">
        <v>367030.77844000002</v>
      </c>
      <c r="D21" s="17">
        <v>630405.99606499996</v>
      </c>
      <c r="E21" s="17">
        <v>634690.18101399997</v>
      </c>
      <c r="G21" s="93">
        <f t="shared" si="0"/>
        <v>1.3409151299213629</v>
      </c>
      <c r="H21" s="93">
        <f t="shared" si="1"/>
        <v>-0.77542892371633454</v>
      </c>
      <c r="U21" s="6" t="s">
        <v>19</v>
      </c>
      <c r="V21" s="21">
        <v>87</v>
      </c>
      <c r="W21" s="59">
        <f t="shared" si="2"/>
        <v>1001720.959454</v>
      </c>
    </row>
    <row r="22" spans="1:23" x14ac:dyDescent="0.55000000000000004">
      <c r="A22" s="16" t="s">
        <v>20</v>
      </c>
      <c r="B22" s="17">
        <v>140287.309247</v>
      </c>
      <c r="C22" s="17">
        <v>136407.38231599997</v>
      </c>
      <c r="D22" s="17">
        <v>309930.35198799998</v>
      </c>
      <c r="E22" s="17">
        <v>302355.335119</v>
      </c>
      <c r="G22" s="93">
        <f t="shared" si="0"/>
        <v>0.63878858630801483</v>
      </c>
      <c r="H22" s="93">
        <f t="shared" si="1"/>
        <v>-0.28818899086837685</v>
      </c>
      <c r="U22" s="6" t="s">
        <v>20</v>
      </c>
      <c r="V22" s="21">
        <v>92</v>
      </c>
      <c r="W22" s="59">
        <f t="shared" si="2"/>
        <v>438762.717435</v>
      </c>
    </row>
    <row r="23" spans="1:23" ht="14.4" customHeight="1" x14ac:dyDescent="0.55000000000000004">
      <c r="A23" s="16" t="s">
        <v>21</v>
      </c>
      <c r="B23" s="17">
        <v>32702.945541000001</v>
      </c>
      <c r="C23" s="17">
        <v>31834.352107999999</v>
      </c>
      <c r="D23" s="17">
        <v>96454.181653000007</v>
      </c>
      <c r="E23" s="17">
        <v>95055.931343999982</v>
      </c>
      <c r="G23" s="93">
        <f t="shared" si="0"/>
        <v>0.20082544261878901</v>
      </c>
      <c r="H23" s="93">
        <f t="shared" si="1"/>
        <v>-6.7256695738798014E-2</v>
      </c>
      <c r="U23" s="6" t="s">
        <v>21</v>
      </c>
      <c r="V23" s="21">
        <v>105</v>
      </c>
      <c r="W23" s="59">
        <f t="shared" si="2"/>
        <v>126890.28345199997</v>
      </c>
    </row>
    <row r="24" spans="1:23" x14ac:dyDescent="0.55000000000000004">
      <c r="A24" s="16" t="s">
        <v>46</v>
      </c>
      <c r="B24" s="59">
        <f>SUM(B3:B23)</f>
        <v>23227282.341449004</v>
      </c>
      <c r="C24" s="59">
        <f t="shared" ref="C24:E24" si="3">SUM(C3:C23)</f>
        <v>23199313.329048</v>
      </c>
      <c r="D24" s="59">
        <f t="shared" si="3"/>
        <v>24171412.603943001</v>
      </c>
      <c r="E24" s="59">
        <f t="shared" si="3"/>
        <v>24133300.559142001</v>
      </c>
      <c r="W24" s="13"/>
    </row>
    <row r="25" spans="1:23" ht="14.4" customHeight="1" x14ac:dyDescent="0.55000000000000004">
      <c r="G25" s="89" t="s">
        <v>105</v>
      </c>
      <c r="H25" s="21">
        <f>C24/E24*100</f>
        <v>96.129881912318055</v>
      </c>
      <c r="K25" s="145" t="s">
        <v>109</v>
      </c>
      <c r="L25" s="145"/>
      <c r="M25" s="145"/>
      <c r="N25" s="145"/>
      <c r="O25" s="145"/>
    </row>
    <row r="26" spans="1:23" s="94" customFormat="1" ht="43.2" x14ac:dyDescent="0.55000000000000004">
      <c r="B26" s="30" t="s">
        <v>103</v>
      </c>
      <c r="C26" s="87">
        <f>C24+E24</f>
        <v>47332613.888190001</v>
      </c>
      <c r="K26" s="23" t="s">
        <v>106</v>
      </c>
      <c r="L26" s="30" t="s">
        <v>111</v>
      </c>
      <c r="M26" s="30" t="s">
        <v>112</v>
      </c>
      <c r="N26" s="30" t="s">
        <v>113</v>
      </c>
      <c r="O26" s="30" t="s">
        <v>108</v>
      </c>
    </row>
    <row r="27" spans="1:23" ht="14.4" customHeight="1" x14ac:dyDescent="0.55000000000000004">
      <c r="J27" s="85" t="s">
        <v>101</v>
      </c>
      <c r="K27" s="95">
        <f>SUMPRODUCT(E3:E23,V3:V23)/E24</f>
        <v>44.379929641483201</v>
      </c>
      <c r="L27" s="95">
        <f>(SUM(E3:E6)+SUM(E17:E23))/SUM(E7:E16)</f>
        <v>0.55093296970539918</v>
      </c>
      <c r="M27" s="95">
        <f>SUM(E17:E23)/SUM(E7:E16)</f>
        <v>0.33677205480096617</v>
      </c>
      <c r="N27" s="95">
        <f>SUM(E3:E6)/SUM(E7:E16)</f>
        <v>0.21416091490443301</v>
      </c>
      <c r="O27" s="95">
        <f>SUM(E17:E23)/SUM(E3:E6)</f>
        <v>1.5725187527857127</v>
      </c>
    </row>
    <row r="28" spans="1:23" x14ac:dyDescent="0.55000000000000004">
      <c r="E28" s="13"/>
      <c r="F28" s="13"/>
      <c r="G28" s="13"/>
      <c r="H28" s="13"/>
      <c r="J28" s="86" t="s">
        <v>102</v>
      </c>
      <c r="K28" s="95">
        <f>SUMPRODUCT(V3:V23,C3:C23)/C24</f>
        <v>41.809914043643595</v>
      </c>
      <c r="L28" s="95">
        <f>(SUM(C3:C6)+SUM(C17:C23))/SUM(C7:C16)</f>
        <v>0.4845053322031197</v>
      </c>
      <c r="M28" s="95">
        <f>SUM(C17:C23)/SUM(C7:C16)</f>
        <v>0.25768268249759896</v>
      </c>
      <c r="N28" s="95">
        <f>SUM(C3:C6)/SUM(C7:C16)</f>
        <v>0.22682264970552074</v>
      </c>
      <c r="O28" s="95">
        <f>SUM(C17:C23)/SUM(C3:C6)</f>
        <v>1.1360535768017135</v>
      </c>
    </row>
    <row r="29" spans="1:23" ht="14.4" customHeight="1" x14ac:dyDescent="0.55000000000000004">
      <c r="J29" s="23" t="s">
        <v>46</v>
      </c>
      <c r="K29" s="95">
        <f>SUMPRODUCT(V3:V23,W3:W23)/C26</f>
        <v>43.120278161941776</v>
      </c>
      <c r="L29" s="95">
        <f>(SUM(W3:W6)+SUM(W17:W23))/SUM(W7:W16)</f>
        <v>0.51764765688614578</v>
      </c>
      <c r="M29" s="95">
        <f>SUM(W17:W23)/SUM(W7:W16)</f>
        <v>0.29714224713686482</v>
      </c>
      <c r="N29" s="95">
        <f>SUM(W3:W6)/SUM(W7:W16)</f>
        <v>0.22050540974928093</v>
      </c>
      <c r="O29" s="95">
        <f>SUM(W17:W23)/SUM(W3:W6)</f>
        <v>1.3475508264161025</v>
      </c>
    </row>
    <row r="31" spans="1:23" ht="14.4" customHeight="1" x14ac:dyDescent="0.55000000000000004"/>
    <row r="33" ht="14.4" customHeight="1" x14ac:dyDescent="0.55000000000000004"/>
    <row r="35" ht="14.4" customHeight="1" x14ac:dyDescent="0.55000000000000004"/>
    <row r="37" ht="14.4" customHeight="1" x14ac:dyDescent="0.55000000000000004"/>
    <row r="39" ht="14.4" customHeight="1" x14ac:dyDescent="0.55000000000000004"/>
    <row r="41" ht="14.4" customHeight="1" x14ac:dyDescent="0.55000000000000004"/>
    <row r="43" ht="14.4" customHeight="1" x14ac:dyDescent="0.55000000000000004"/>
    <row r="45" ht="14.4" customHeight="1" x14ac:dyDescent="0.55000000000000004"/>
    <row r="47" ht="14.4" customHeight="1" x14ac:dyDescent="0.55000000000000004"/>
    <row r="49" ht="14.4" customHeight="1" x14ac:dyDescent="0.55000000000000004"/>
    <row r="51" ht="14.4" customHeight="1" x14ac:dyDescent="0.55000000000000004"/>
    <row r="53" ht="14.4" customHeight="1" x14ac:dyDescent="0.55000000000000004"/>
    <row r="55" ht="14.4" customHeight="1" x14ac:dyDescent="0.55000000000000004"/>
    <row r="57" ht="14.4" customHeight="1" x14ac:dyDescent="0.55000000000000004"/>
    <row r="59" ht="14.4" customHeight="1" x14ac:dyDescent="0.55000000000000004"/>
    <row r="61" ht="14.4" customHeight="1" x14ac:dyDescent="0.55000000000000004"/>
    <row r="63" ht="14.4" customHeight="1" x14ac:dyDescent="0.55000000000000004"/>
    <row r="65" ht="14.4" customHeight="1" x14ac:dyDescent="0.55000000000000004"/>
    <row r="67" ht="14.4" customHeight="1" x14ac:dyDescent="0.55000000000000004"/>
    <row r="69" ht="14.4" customHeight="1" x14ac:dyDescent="0.55000000000000004"/>
    <row r="71" ht="14.4" customHeight="1" x14ac:dyDescent="0.55000000000000004"/>
    <row r="73" ht="14.4" customHeight="1" x14ac:dyDescent="0.55000000000000004"/>
    <row r="75" ht="14.4" customHeight="1" x14ac:dyDescent="0.55000000000000004"/>
    <row r="77" ht="14.4" customHeight="1" x14ac:dyDescent="0.55000000000000004"/>
    <row r="79" ht="14.4" customHeight="1" x14ac:dyDescent="0.55000000000000004"/>
    <row r="81" ht="14.4" customHeight="1" x14ac:dyDescent="0.55000000000000004"/>
    <row r="83" ht="14.4" customHeight="1" x14ac:dyDescent="0.55000000000000004"/>
    <row r="85" ht="14.4" customHeight="1" x14ac:dyDescent="0.55000000000000004"/>
    <row r="87" ht="14.4" customHeight="1" x14ac:dyDescent="0.55000000000000004"/>
    <row r="89" ht="14.4" customHeight="1" x14ac:dyDescent="0.55000000000000004"/>
    <row r="91" ht="14.4" customHeight="1" x14ac:dyDescent="0.55000000000000004"/>
    <row r="93" ht="14.4" customHeight="1" x14ac:dyDescent="0.55000000000000004"/>
    <row r="95" ht="14.4" customHeight="1" x14ac:dyDescent="0.55000000000000004"/>
    <row r="97" ht="14.4" customHeight="1" x14ac:dyDescent="0.55000000000000004"/>
    <row r="99" ht="14.4" customHeight="1" x14ac:dyDescent="0.55000000000000004"/>
    <row r="101" ht="14.4" customHeight="1" x14ac:dyDescent="0.55000000000000004"/>
    <row r="103" ht="14.4" customHeight="1" x14ac:dyDescent="0.55000000000000004"/>
    <row r="105" ht="14.4" customHeight="1" x14ac:dyDescent="0.55000000000000004"/>
    <row r="107" ht="14.4" customHeight="1" x14ac:dyDescent="0.55000000000000004"/>
    <row r="109" ht="14.4" customHeight="1" x14ac:dyDescent="0.55000000000000004"/>
    <row r="111" ht="14.4" customHeight="1" x14ac:dyDescent="0.55000000000000004"/>
    <row r="113" ht="14.4" customHeight="1" x14ac:dyDescent="0.55000000000000004"/>
    <row r="115" ht="14.4" customHeight="1" x14ac:dyDescent="0.55000000000000004"/>
    <row r="117" ht="14.4" customHeight="1" x14ac:dyDescent="0.55000000000000004"/>
    <row r="119" ht="14.4" customHeight="1" x14ac:dyDescent="0.55000000000000004"/>
    <row r="121" ht="14.4" customHeight="1" x14ac:dyDescent="0.55000000000000004"/>
    <row r="123" ht="14.4" customHeight="1" x14ac:dyDescent="0.55000000000000004"/>
    <row r="125" ht="14.4" customHeight="1" x14ac:dyDescent="0.55000000000000004"/>
    <row r="127" ht="14.4" customHeight="1" x14ac:dyDescent="0.55000000000000004"/>
    <row r="129" ht="14.4" customHeight="1" x14ac:dyDescent="0.55000000000000004"/>
    <row r="131" ht="14.4" customHeight="1" x14ac:dyDescent="0.55000000000000004"/>
    <row r="133" ht="14.4" customHeight="1" x14ac:dyDescent="0.55000000000000004"/>
    <row r="135" ht="14.4" customHeight="1" x14ac:dyDescent="0.55000000000000004"/>
    <row r="137" ht="14.4" customHeight="1" x14ac:dyDescent="0.55000000000000004"/>
    <row r="139" ht="14.4" customHeight="1" x14ac:dyDescent="0.55000000000000004"/>
    <row r="141" ht="14.4" customHeight="1" x14ac:dyDescent="0.55000000000000004"/>
    <row r="143" ht="14.4" customHeight="1" x14ac:dyDescent="0.55000000000000004"/>
    <row r="145" ht="14.4" customHeight="1" x14ac:dyDescent="0.55000000000000004"/>
    <row r="147" ht="14.4" customHeight="1" x14ac:dyDescent="0.55000000000000004"/>
    <row r="149" ht="14.4" customHeight="1" x14ac:dyDescent="0.55000000000000004"/>
    <row r="151" ht="14.4" customHeight="1" x14ac:dyDescent="0.55000000000000004"/>
    <row r="153" ht="14.4" customHeight="1" x14ac:dyDescent="0.55000000000000004"/>
    <row r="155" ht="14.4" customHeight="1" x14ac:dyDescent="0.55000000000000004"/>
    <row r="157" ht="14.4" customHeight="1" x14ac:dyDescent="0.55000000000000004"/>
    <row r="159" ht="14.4" customHeight="1" x14ac:dyDescent="0.55000000000000004"/>
    <row r="161" ht="14.4" customHeight="1" x14ac:dyDescent="0.55000000000000004"/>
    <row r="163" ht="14.4" customHeight="1" x14ac:dyDescent="0.55000000000000004"/>
    <row r="165" ht="14.4" customHeight="1" x14ac:dyDescent="0.55000000000000004"/>
    <row r="167" ht="14.4" customHeight="1" x14ac:dyDescent="0.55000000000000004"/>
    <row r="169" ht="14.4" customHeight="1" x14ac:dyDescent="0.55000000000000004"/>
    <row r="171" ht="14.4" customHeight="1" x14ac:dyDescent="0.55000000000000004"/>
    <row r="173" ht="14.4" customHeight="1" x14ac:dyDescent="0.55000000000000004"/>
    <row r="175" ht="14.4" customHeight="1" x14ac:dyDescent="0.55000000000000004"/>
    <row r="177" ht="14.4" customHeight="1" x14ac:dyDescent="0.55000000000000004"/>
    <row r="179" ht="14.4" customHeight="1" x14ac:dyDescent="0.55000000000000004"/>
    <row r="181" ht="14.4" customHeight="1" x14ac:dyDescent="0.55000000000000004"/>
    <row r="183" ht="14.4" customHeight="1" x14ac:dyDescent="0.55000000000000004"/>
    <row r="185" ht="14.4" customHeight="1" x14ac:dyDescent="0.55000000000000004"/>
    <row r="187" ht="14.4" customHeight="1" x14ac:dyDescent="0.55000000000000004"/>
    <row r="189" ht="14.4" customHeight="1" x14ac:dyDescent="0.55000000000000004"/>
    <row r="191" ht="14.4" customHeight="1" x14ac:dyDescent="0.55000000000000004"/>
    <row r="193" ht="14.4" customHeight="1" x14ac:dyDescent="0.55000000000000004"/>
    <row r="195" ht="14.4" customHeight="1" x14ac:dyDescent="0.55000000000000004"/>
    <row r="197" ht="14.4" customHeight="1" x14ac:dyDescent="0.55000000000000004"/>
    <row r="199" ht="14.4" customHeight="1" x14ac:dyDescent="0.55000000000000004"/>
    <row r="201" ht="14.4" customHeight="1" x14ac:dyDescent="0.55000000000000004"/>
    <row r="203" ht="14.4" customHeight="1" x14ac:dyDescent="0.55000000000000004"/>
    <row r="205" ht="14.4" customHeight="1" x14ac:dyDescent="0.55000000000000004"/>
    <row r="207" ht="14.4" customHeight="1" x14ac:dyDescent="0.55000000000000004"/>
    <row r="209" ht="14.4" customHeight="1" x14ac:dyDescent="0.55000000000000004"/>
    <row r="210" ht="14.4" customHeight="1" x14ac:dyDescent="0.55000000000000004"/>
    <row r="212" ht="14.4" customHeight="1" x14ac:dyDescent="0.55000000000000004"/>
    <row r="214" ht="14.4" customHeight="1" x14ac:dyDescent="0.55000000000000004"/>
    <row r="216" ht="14.4" customHeight="1" x14ac:dyDescent="0.55000000000000004"/>
    <row r="218" ht="14.4" customHeight="1" x14ac:dyDescent="0.55000000000000004"/>
    <row r="220" ht="14.4" customHeight="1" x14ac:dyDescent="0.55000000000000004"/>
    <row r="222" ht="14.4" customHeight="1" x14ac:dyDescent="0.55000000000000004"/>
    <row r="224" ht="14.4" customHeight="1" x14ac:dyDescent="0.55000000000000004"/>
    <row r="226" ht="14.4" customHeight="1" x14ac:dyDescent="0.55000000000000004"/>
    <row r="228" ht="14.4" customHeight="1" x14ac:dyDescent="0.55000000000000004"/>
    <row r="230" ht="14.4" customHeight="1" x14ac:dyDescent="0.55000000000000004"/>
    <row r="232" ht="14.4" customHeight="1" x14ac:dyDescent="0.55000000000000004"/>
    <row r="234" ht="14.4" customHeight="1" x14ac:dyDescent="0.55000000000000004"/>
    <row r="236" ht="14.4" customHeight="1" x14ac:dyDescent="0.55000000000000004"/>
    <row r="238" ht="14.4" customHeight="1" x14ac:dyDescent="0.55000000000000004"/>
    <row r="240" ht="14.4" customHeight="1" x14ac:dyDescent="0.55000000000000004"/>
    <row r="242" ht="14.4" customHeight="1" x14ac:dyDescent="0.55000000000000004"/>
    <row r="244" ht="14.4" customHeight="1" x14ac:dyDescent="0.55000000000000004"/>
    <row r="246" ht="14.4" customHeight="1" x14ac:dyDescent="0.55000000000000004"/>
    <row r="248" ht="14.4" customHeight="1" x14ac:dyDescent="0.55000000000000004"/>
    <row r="250" ht="14.4" customHeight="1" x14ac:dyDescent="0.55000000000000004"/>
    <row r="252" ht="14.4" customHeight="1" x14ac:dyDescent="0.55000000000000004"/>
    <row r="254" ht="14.4" customHeight="1" x14ac:dyDescent="0.55000000000000004"/>
    <row r="256" ht="14.4" customHeight="1" x14ac:dyDescent="0.55000000000000004"/>
    <row r="258" ht="14.4" customHeight="1" x14ac:dyDescent="0.55000000000000004"/>
    <row r="260" ht="14.4" customHeight="1" x14ac:dyDescent="0.55000000000000004"/>
    <row r="262" ht="14.4" customHeight="1" x14ac:dyDescent="0.55000000000000004"/>
    <row r="264" ht="14.4" customHeight="1" x14ac:dyDescent="0.55000000000000004"/>
    <row r="266" ht="14.4" customHeight="1" x14ac:dyDescent="0.55000000000000004"/>
    <row r="268" ht="14.4" customHeight="1" x14ac:dyDescent="0.55000000000000004"/>
    <row r="270" ht="14.4" customHeight="1" x14ac:dyDescent="0.55000000000000004"/>
    <row r="272" ht="14.4" customHeight="1" x14ac:dyDescent="0.55000000000000004"/>
    <row r="274" ht="14.4" customHeight="1" x14ac:dyDescent="0.55000000000000004"/>
    <row r="276" ht="14.4" customHeight="1" x14ac:dyDescent="0.55000000000000004"/>
    <row r="278" ht="14.4" customHeight="1" x14ac:dyDescent="0.55000000000000004"/>
    <row r="280" ht="14.4" customHeight="1" x14ac:dyDescent="0.55000000000000004"/>
    <row r="282" ht="14.4" customHeight="1" x14ac:dyDescent="0.55000000000000004"/>
    <row r="284" ht="14.4" customHeight="1" x14ac:dyDescent="0.55000000000000004"/>
    <row r="286" ht="14.4" customHeight="1" x14ac:dyDescent="0.55000000000000004"/>
    <row r="288" ht="14.4" customHeight="1" x14ac:dyDescent="0.55000000000000004"/>
    <row r="290" ht="14.4" customHeight="1" x14ac:dyDescent="0.55000000000000004"/>
    <row r="292" ht="14.4" customHeight="1" x14ac:dyDescent="0.55000000000000004"/>
    <row r="294" ht="14.4" customHeight="1" x14ac:dyDescent="0.55000000000000004"/>
    <row r="296" ht="14.4" customHeight="1" x14ac:dyDescent="0.55000000000000004"/>
    <row r="298" ht="14.4" customHeight="1" x14ac:dyDescent="0.55000000000000004"/>
    <row r="300" ht="14.4" customHeight="1" x14ac:dyDescent="0.55000000000000004"/>
    <row r="302" ht="14.4" customHeight="1" x14ac:dyDescent="0.55000000000000004"/>
    <row r="304" ht="14.4" customHeight="1" x14ac:dyDescent="0.55000000000000004"/>
    <row r="306" ht="14.4" customHeight="1" x14ac:dyDescent="0.55000000000000004"/>
    <row r="308" ht="14.4" customHeight="1" x14ac:dyDescent="0.55000000000000004"/>
    <row r="310" ht="14.4" customHeight="1" x14ac:dyDescent="0.55000000000000004"/>
    <row r="312" ht="14.4" customHeight="1" x14ac:dyDescent="0.55000000000000004"/>
    <row r="314" ht="14.4" customHeight="1" x14ac:dyDescent="0.55000000000000004"/>
    <row r="316" ht="14.4" customHeight="1" x14ac:dyDescent="0.55000000000000004"/>
    <row r="318" ht="14.4" customHeight="1" x14ac:dyDescent="0.55000000000000004"/>
    <row r="320" ht="14.4" customHeight="1" x14ac:dyDescent="0.55000000000000004"/>
    <row r="322" ht="14.4" customHeight="1" x14ac:dyDescent="0.55000000000000004"/>
    <row r="324" ht="14.4" customHeight="1" x14ac:dyDescent="0.55000000000000004"/>
    <row r="326" ht="14.4" customHeight="1" x14ac:dyDescent="0.55000000000000004"/>
    <row r="328" ht="14.4" customHeight="1" x14ac:dyDescent="0.55000000000000004"/>
    <row r="330" ht="14.4" customHeight="1" x14ac:dyDescent="0.55000000000000004"/>
    <row r="332" ht="14.4" customHeight="1" x14ac:dyDescent="0.55000000000000004"/>
    <row r="334" ht="14.4" customHeight="1" x14ac:dyDescent="0.55000000000000004"/>
    <row r="336" ht="14.4" customHeight="1" x14ac:dyDescent="0.55000000000000004"/>
    <row r="338" ht="14.4" customHeight="1" x14ac:dyDescent="0.55000000000000004"/>
    <row r="340" ht="14.4" customHeight="1" x14ac:dyDescent="0.55000000000000004"/>
    <row r="342" ht="14.4" customHeight="1" x14ac:dyDescent="0.55000000000000004"/>
    <row r="344" ht="14.4" customHeight="1" x14ac:dyDescent="0.55000000000000004"/>
    <row r="346" ht="14.4" customHeight="1" x14ac:dyDescent="0.55000000000000004"/>
    <row r="348" ht="14.4" customHeight="1" x14ac:dyDescent="0.55000000000000004"/>
    <row r="350" ht="14.4" customHeight="1" x14ac:dyDescent="0.55000000000000004"/>
    <row r="352" ht="14.4" customHeight="1" x14ac:dyDescent="0.55000000000000004"/>
    <row r="354" ht="14.4" customHeight="1" x14ac:dyDescent="0.55000000000000004"/>
    <row r="356" ht="14.4" customHeight="1" x14ac:dyDescent="0.55000000000000004"/>
    <row r="358" ht="14.4" customHeight="1" x14ac:dyDescent="0.55000000000000004"/>
    <row r="360" ht="14.4" customHeight="1" x14ac:dyDescent="0.55000000000000004"/>
    <row r="362" ht="14.4" customHeight="1" x14ac:dyDescent="0.55000000000000004"/>
    <row r="364" ht="14.4" customHeight="1" x14ac:dyDescent="0.55000000000000004"/>
    <row r="366" ht="14.4" customHeight="1" x14ac:dyDescent="0.55000000000000004"/>
    <row r="368" ht="14.4" customHeight="1" x14ac:dyDescent="0.55000000000000004"/>
    <row r="370" ht="14.4" customHeight="1" x14ac:dyDescent="0.55000000000000004"/>
    <row r="372" ht="14.4" customHeight="1" x14ac:dyDescent="0.55000000000000004"/>
    <row r="374" ht="14.4" customHeight="1" x14ac:dyDescent="0.55000000000000004"/>
    <row r="376" ht="14.4" customHeight="1" x14ac:dyDescent="0.55000000000000004"/>
    <row r="378" ht="14.4" customHeight="1" x14ac:dyDescent="0.55000000000000004"/>
    <row r="380" ht="14.4" customHeight="1" x14ac:dyDescent="0.55000000000000004"/>
    <row r="382" ht="14.4" customHeight="1" x14ac:dyDescent="0.55000000000000004"/>
    <row r="384" ht="14.4" customHeight="1" x14ac:dyDescent="0.55000000000000004"/>
    <row r="386" ht="14.4" customHeight="1" x14ac:dyDescent="0.55000000000000004"/>
    <row r="388" ht="14.4" customHeight="1" x14ac:dyDescent="0.55000000000000004"/>
    <row r="390" ht="14.4" customHeight="1" x14ac:dyDescent="0.55000000000000004"/>
    <row r="392" ht="14.4" customHeight="1" x14ac:dyDescent="0.55000000000000004"/>
    <row r="394" ht="14.4" customHeight="1" x14ac:dyDescent="0.55000000000000004"/>
    <row r="396" ht="14.4" customHeight="1" x14ac:dyDescent="0.55000000000000004"/>
    <row r="398" ht="14.4" customHeight="1" x14ac:dyDescent="0.55000000000000004"/>
    <row r="400" ht="14.4" customHeight="1" x14ac:dyDescent="0.55000000000000004"/>
    <row r="402" ht="14.4" customHeight="1" x14ac:dyDescent="0.55000000000000004"/>
    <row r="404" ht="14.4" customHeight="1" x14ac:dyDescent="0.55000000000000004"/>
    <row r="406" ht="14.4" customHeight="1" x14ac:dyDescent="0.55000000000000004"/>
    <row r="408" ht="14.4" customHeight="1" x14ac:dyDescent="0.55000000000000004"/>
    <row r="410" ht="14.4" customHeight="1" x14ac:dyDescent="0.55000000000000004"/>
    <row r="412" ht="14.4" customHeight="1" x14ac:dyDescent="0.55000000000000004"/>
    <row r="414" ht="14.4" customHeight="1" x14ac:dyDescent="0.55000000000000004"/>
  </sheetData>
  <mergeCells count="4">
    <mergeCell ref="K25:O25"/>
    <mergeCell ref="D2:E2"/>
    <mergeCell ref="B2:C2"/>
    <mergeCell ref="G1:H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6A5D6-F798-412A-A0C8-08FFB2FDEFDE}">
  <dimension ref="A1:O50"/>
  <sheetViews>
    <sheetView zoomScale="90" zoomScaleNormal="90" workbookViewId="0">
      <selection activeCell="O23" sqref="O23"/>
    </sheetView>
  </sheetViews>
  <sheetFormatPr defaultRowHeight="14.4" x14ac:dyDescent="0.55000000000000004"/>
  <cols>
    <col min="2" max="2" width="17.20703125" customWidth="1"/>
    <col min="3" max="3" width="15.41796875" customWidth="1"/>
    <col min="4" max="4" width="11.1015625" customWidth="1"/>
    <col min="5" max="5" width="11.20703125" customWidth="1"/>
    <col min="6" max="8" width="11.41796875" bestFit="1" customWidth="1"/>
    <col min="9" max="9" width="13" customWidth="1"/>
    <col min="10" max="10" width="11.7890625" customWidth="1"/>
    <col min="11" max="11" width="13.1015625" customWidth="1"/>
    <col min="12" max="12" width="13.68359375" customWidth="1"/>
    <col min="13" max="13" width="10.20703125" customWidth="1"/>
  </cols>
  <sheetData>
    <row r="1" spans="1:15" ht="14.7" thickBot="1" x14ac:dyDescent="0.6">
      <c r="A1" s="149" t="s">
        <v>68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1"/>
    </row>
    <row r="2" spans="1:15" s="20" customFormat="1" x14ac:dyDescent="0.55000000000000004">
      <c r="A2" s="41" t="s">
        <v>66</v>
      </c>
      <c r="B2" s="58" t="s">
        <v>94</v>
      </c>
      <c r="C2" s="58" t="s">
        <v>95</v>
      </c>
      <c r="D2" s="41" t="s">
        <v>47</v>
      </c>
      <c r="E2" s="41" t="s">
        <v>48</v>
      </c>
      <c r="F2" s="41" t="s">
        <v>99</v>
      </c>
      <c r="G2" s="41" t="s">
        <v>49</v>
      </c>
      <c r="H2" s="41" t="s">
        <v>50</v>
      </c>
      <c r="I2" s="41" t="s">
        <v>51</v>
      </c>
      <c r="J2" s="41" t="s">
        <v>52</v>
      </c>
      <c r="K2" s="41" t="s">
        <v>53</v>
      </c>
      <c r="L2" s="41" t="s">
        <v>54</v>
      </c>
      <c r="M2" s="41" t="s">
        <v>114</v>
      </c>
      <c r="O2" t="s">
        <v>100</v>
      </c>
    </row>
    <row r="3" spans="1:15" x14ac:dyDescent="0.55000000000000004">
      <c r="A3" s="30">
        <v>0</v>
      </c>
      <c r="B3" s="59">
        <v>166335</v>
      </c>
      <c r="C3" s="59">
        <v>174857</v>
      </c>
      <c r="D3" s="21">
        <v>394</v>
      </c>
      <c r="E3" s="25">
        <f>D3/AVERAGE(B3:C3)</f>
        <v>2.3095500480667776E-3</v>
      </c>
      <c r="F3" s="25">
        <f>0.053+2.8*E3</f>
        <v>5.9466740134586978E-2</v>
      </c>
      <c r="G3" s="25">
        <f>E3/(1+(1-F3)*E3)</f>
        <v>2.3045440974772766E-3</v>
      </c>
      <c r="H3" s="25">
        <f>1-G3</f>
        <v>0.99769545590252273</v>
      </c>
      <c r="I3" s="34">
        <v>100000</v>
      </c>
      <c r="J3" s="32">
        <f>I3*G3</f>
        <v>230.45440974772765</v>
      </c>
      <c r="K3" s="32">
        <f>I4+F3*J3</f>
        <v>99783.2499627496</v>
      </c>
      <c r="L3" s="32">
        <f>SUM(K3:K23)</f>
        <v>8494786.3197124489</v>
      </c>
      <c r="M3" s="32">
        <f>L3/I3</f>
        <v>84.947863197124491</v>
      </c>
      <c r="O3" t="s">
        <v>67</v>
      </c>
    </row>
    <row r="4" spans="1:15" x14ac:dyDescent="0.55000000000000004">
      <c r="A4" s="60" t="s">
        <v>2</v>
      </c>
      <c r="B4" s="59">
        <v>769961.181125</v>
      </c>
      <c r="C4" s="59">
        <v>802146.42972599994</v>
      </c>
      <c r="D4" s="21">
        <v>71</v>
      </c>
      <c r="E4" s="25">
        <f t="shared" ref="E4:E23" si="0">D4/AVERAGE(B4:C4)</f>
        <v>9.0324605656691504E-5</v>
      </c>
      <c r="F4" s="25">
        <f>1.522-1.518*E3</f>
        <v>1.5184941030270347</v>
      </c>
      <c r="G4" s="25">
        <f>(4*E4)/(1+(4-F4)*E4)</f>
        <v>3.6121745896927615E-4</v>
      </c>
      <c r="H4" s="25">
        <f t="shared" ref="H4:H23" si="1">1-G4</f>
        <v>0.99963878254103078</v>
      </c>
      <c r="I4" s="32">
        <f>I3*H3</f>
        <v>99769.545590252266</v>
      </c>
      <c r="J4" s="32">
        <f t="shared" ref="J4:J22" si="2">I4*G4</f>
        <v>36.038501740630274</v>
      </c>
      <c r="K4" s="32">
        <f>4*I5+F4*J4</f>
        <v>398988.75260642165</v>
      </c>
      <c r="L4" s="32">
        <f>L3-K3</f>
        <v>8395003.0697496999</v>
      </c>
      <c r="M4" s="32">
        <f t="shared" ref="M4:M23" si="3">L4/I4</f>
        <v>84.143944127273969</v>
      </c>
    </row>
    <row r="5" spans="1:15" x14ac:dyDescent="0.55000000000000004">
      <c r="A5" s="61" t="s">
        <v>3</v>
      </c>
      <c r="B5" s="59">
        <v>1111875.885799</v>
      </c>
      <c r="C5" s="59">
        <v>1128793.5146649999</v>
      </c>
      <c r="D5" s="21">
        <v>72</v>
      </c>
      <c r="E5" s="25">
        <f t="shared" si="0"/>
        <v>6.4266508914782492E-5</v>
      </c>
      <c r="F5" s="33">
        <v>2.5</v>
      </c>
      <c r="G5" s="25">
        <f t="shared" ref="G5:G22" si="4">(5*E5)/(1+(5-F5)*E5)</f>
        <v>3.2128092556524496E-4</v>
      </c>
      <c r="H5" s="25">
        <f t="shared" si="1"/>
        <v>0.99967871907443473</v>
      </c>
      <c r="I5" s="32">
        <f t="shared" ref="I5:I23" si="5">I4*H4</f>
        <v>99733.507088511644</v>
      </c>
      <c r="J5" s="32">
        <f t="shared" si="2"/>
        <v>32.042473467264941</v>
      </c>
      <c r="K5" s="32">
        <f>5*I6+F5*J5</f>
        <v>498587.42925889004</v>
      </c>
      <c r="L5" s="32">
        <f t="shared" ref="L5:L23" si="6">L4-K4</f>
        <v>7996014.3171432782</v>
      </c>
      <c r="M5" s="32">
        <f t="shared" si="3"/>
        <v>80.173800667081352</v>
      </c>
    </row>
    <row r="6" spans="1:15" x14ac:dyDescent="0.55000000000000004">
      <c r="A6" s="61" t="s">
        <v>5</v>
      </c>
      <c r="B6" s="59">
        <v>1227804.71254</v>
      </c>
      <c r="C6" s="59">
        <v>1226655.0882660002</v>
      </c>
      <c r="D6" s="21">
        <v>80</v>
      </c>
      <c r="E6" s="25">
        <f t="shared" si="0"/>
        <v>6.5187459964697282E-5</v>
      </c>
      <c r="F6" s="33">
        <v>2.5</v>
      </c>
      <c r="G6" s="25">
        <f t="shared" si="4"/>
        <v>3.2588419091686508E-4</v>
      </c>
      <c r="H6" s="25">
        <f t="shared" si="1"/>
        <v>0.99967411580908316</v>
      </c>
      <c r="I6" s="32">
        <f t="shared" si="5"/>
        <v>99701.464615044373</v>
      </c>
      <c r="J6" s="32">
        <f t="shared" si="2"/>
        <v>32.491131129300186</v>
      </c>
      <c r="K6" s="32">
        <f t="shared" ref="K6:K22" si="7">5*I7+F6*J6</f>
        <v>498426.09524739865</v>
      </c>
      <c r="L6" s="32">
        <f t="shared" si="6"/>
        <v>7497426.8878843877</v>
      </c>
      <c r="M6" s="32">
        <f t="shared" si="3"/>
        <v>75.198763797829599</v>
      </c>
    </row>
    <row r="7" spans="1:15" x14ac:dyDescent="0.55000000000000004">
      <c r="A7" s="30" t="s">
        <v>4</v>
      </c>
      <c r="B7" s="59">
        <v>1178983.4111259999</v>
      </c>
      <c r="C7" s="59">
        <v>1159214.734807</v>
      </c>
      <c r="D7" s="21">
        <v>137</v>
      </c>
      <c r="E7" s="25">
        <f t="shared" si="0"/>
        <v>1.171842516754144E-4</v>
      </c>
      <c r="F7" s="33">
        <v>2.5</v>
      </c>
      <c r="G7" s="25">
        <f>(5*E7)/(1+(5-F7)*E7)</f>
        <v>5.8574965678907212E-4</v>
      </c>
      <c r="H7" s="25">
        <f t="shared" si="1"/>
        <v>0.99941425034321096</v>
      </c>
      <c r="I7" s="32">
        <f>I6*H6</f>
        <v>99668.973483915077</v>
      </c>
      <c r="J7" s="32">
        <f>I7*G7</f>
        <v>58.381067010722383</v>
      </c>
      <c r="K7" s="32">
        <f t="shared" si="7"/>
        <v>498198.91475204856</v>
      </c>
      <c r="L7" s="32">
        <f t="shared" si="6"/>
        <v>6999000.7926369887</v>
      </c>
      <c r="M7" s="32">
        <f t="shared" si="3"/>
        <v>70.22246289881285</v>
      </c>
    </row>
    <row r="8" spans="1:15" x14ac:dyDescent="0.55000000000000004">
      <c r="A8" s="30" t="s">
        <v>6</v>
      </c>
      <c r="B8" s="59">
        <v>1164436.5950259999</v>
      </c>
      <c r="C8" s="59">
        <v>1148341.861329</v>
      </c>
      <c r="D8" s="21">
        <v>151</v>
      </c>
      <c r="E8" s="25">
        <f t="shared" si="0"/>
        <v>1.3057887112800245E-4</v>
      </c>
      <c r="F8" s="33">
        <v>2.5</v>
      </c>
      <c r="G8" s="25">
        <f t="shared" si="4"/>
        <v>6.5268128967498193E-4</v>
      </c>
      <c r="H8" s="25">
        <f t="shared" si="1"/>
        <v>0.99934731871032501</v>
      </c>
      <c r="I8" s="32">
        <f t="shared" si="5"/>
        <v>99610.592416904357</v>
      </c>
      <c r="J8" s="32">
        <f>I8*G8</f>
        <v>65.013969923954107</v>
      </c>
      <c r="K8" s="32">
        <f t="shared" si="7"/>
        <v>497890.42715971189</v>
      </c>
      <c r="L8" s="32">
        <f t="shared" si="6"/>
        <v>6500801.8778849402</v>
      </c>
      <c r="M8" s="32">
        <f t="shared" si="3"/>
        <v>65.262154557588246</v>
      </c>
    </row>
    <row r="9" spans="1:15" x14ac:dyDescent="0.55000000000000004">
      <c r="A9" s="30" t="s">
        <v>7</v>
      </c>
      <c r="B9" s="59">
        <v>1247889.833501</v>
      </c>
      <c r="C9" s="59">
        <v>1257566.604845</v>
      </c>
      <c r="D9" s="21">
        <v>243</v>
      </c>
      <c r="E9" s="25">
        <f t="shared" si="0"/>
        <v>1.9397663138810643E-4</v>
      </c>
      <c r="F9" s="33">
        <v>2.5</v>
      </c>
      <c r="G9" s="25">
        <f t="shared" si="4"/>
        <v>9.6941304824672576E-4</v>
      </c>
      <c r="H9" s="25">
        <f t="shared" si="1"/>
        <v>0.99903058695175329</v>
      </c>
      <c r="I9" s="32">
        <f t="shared" si="5"/>
        <v>99545.578446980406</v>
      </c>
      <c r="J9" s="32">
        <f t="shared" si="2"/>
        <v>96.50078264177084</v>
      </c>
      <c r="K9" s="32">
        <f t="shared" si="7"/>
        <v>497486.64027829759</v>
      </c>
      <c r="L9" s="32">
        <f>L8-K8</f>
        <v>6002911.4507252285</v>
      </c>
      <c r="M9" s="32">
        <f t="shared" si="3"/>
        <v>60.303144995259402</v>
      </c>
    </row>
    <row r="10" spans="1:15" x14ac:dyDescent="0.55000000000000004">
      <c r="A10" s="30" t="s">
        <v>8</v>
      </c>
      <c r="B10" s="59">
        <v>1371909.9804750001</v>
      </c>
      <c r="C10" s="59">
        <v>1391723.746388</v>
      </c>
      <c r="D10" s="21">
        <v>376</v>
      </c>
      <c r="E10" s="25">
        <f t="shared" si="0"/>
        <v>2.7210552277258355E-4</v>
      </c>
      <c r="F10" s="33">
        <v>2.5</v>
      </c>
      <c r="G10" s="25">
        <f t="shared" si="4"/>
        <v>1.3596027253370657E-3</v>
      </c>
      <c r="H10" s="25">
        <f t="shared" si="1"/>
        <v>0.99864039727466292</v>
      </c>
      <c r="I10" s="32">
        <f t="shared" si="5"/>
        <v>99449.077664338634</v>
      </c>
      <c r="J10" s="32">
        <f t="shared" si="2"/>
        <v>135.21123702469231</v>
      </c>
      <c r="K10" s="32">
        <f t="shared" si="7"/>
        <v>496907.36022913147</v>
      </c>
      <c r="L10" s="32">
        <f t="shared" si="6"/>
        <v>5505424.810446931</v>
      </c>
      <c r="M10" s="32">
        <f t="shared" si="3"/>
        <v>55.359234492137645</v>
      </c>
    </row>
    <row r="11" spans="1:15" x14ac:dyDescent="0.55000000000000004">
      <c r="A11" s="30" t="s">
        <v>9</v>
      </c>
      <c r="B11" s="59">
        <v>1607492.8753589999</v>
      </c>
      <c r="C11" s="59">
        <v>1669073.8978989997</v>
      </c>
      <c r="D11" s="21">
        <v>685</v>
      </c>
      <c r="E11" s="25">
        <f t="shared" si="0"/>
        <v>4.181205801088446E-4</v>
      </c>
      <c r="F11" s="33">
        <v>2.5</v>
      </c>
      <c r="G11" s="25">
        <f t="shared" si="4"/>
        <v>2.0884198722230115E-3</v>
      </c>
      <c r="H11" s="25">
        <f t="shared" si="1"/>
        <v>0.99791158012777703</v>
      </c>
      <c r="I11" s="32">
        <f t="shared" si="5"/>
        <v>99313.866427313944</v>
      </c>
      <c r="J11" s="32">
        <f t="shared" si="2"/>
        <v>207.40905223410422</v>
      </c>
      <c r="K11" s="32">
        <f t="shared" si="7"/>
        <v>496050.80950598448</v>
      </c>
      <c r="L11" s="32">
        <f>L10-K10</f>
        <v>5008517.4502177993</v>
      </c>
      <c r="M11" s="32">
        <f t="shared" si="3"/>
        <v>50.431199895771293</v>
      </c>
    </row>
    <row r="12" spans="1:15" x14ac:dyDescent="0.55000000000000004">
      <c r="A12" s="30" t="s">
        <v>10</v>
      </c>
      <c r="B12" s="59">
        <v>1935065.927191</v>
      </c>
      <c r="C12" s="59">
        <v>1962291.0236479999</v>
      </c>
      <c r="D12" s="21">
        <v>1283</v>
      </c>
      <c r="E12" s="25">
        <f t="shared" si="0"/>
        <v>6.583949154176414E-4</v>
      </c>
      <c r="F12" s="33">
        <v>2.5</v>
      </c>
      <c r="G12" s="25">
        <f t="shared" si="4"/>
        <v>3.2865649329855379E-3</v>
      </c>
      <c r="H12" s="25">
        <f t="shared" si="1"/>
        <v>0.99671343506701449</v>
      </c>
      <c r="I12" s="32">
        <f>I11*H11</f>
        <v>99106.457375079844</v>
      </c>
      <c r="J12" s="32">
        <f t="shared" si="2"/>
        <v>325.71980744136334</v>
      </c>
      <c r="K12" s="32">
        <f t="shared" si="7"/>
        <v>494717.98735679587</v>
      </c>
      <c r="L12" s="32">
        <f t="shared" si="6"/>
        <v>4512466.6407118151</v>
      </c>
      <c r="M12" s="32">
        <f>L12/I12</f>
        <v>45.531509855446288</v>
      </c>
    </row>
    <row r="13" spans="1:15" x14ac:dyDescent="0.55000000000000004">
      <c r="A13" s="30" t="s">
        <v>11</v>
      </c>
      <c r="B13" s="59">
        <v>1949746.1476699999</v>
      </c>
      <c r="C13" s="59">
        <v>1922352.435022</v>
      </c>
      <c r="D13" s="21">
        <v>2133</v>
      </c>
      <c r="E13" s="25">
        <f t="shared" si="0"/>
        <v>1.1017281479011693E-3</v>
      </c>
      <c r="F13" s="33">
        <v>2.5</v>
      </c>
      <c r="G13" s="25">
        <f t="shared" si="4"/>
        <v>5.4935098534151473E-3</v>
      </c>
      <c r="H13" s="25">
        <f t="shared" si="1"/>
        <v>0.99450649014658488</v>
      </c>
      <c r="I13" s="32">
        <f t="shared" si="5"/>
        <v>98780.737567638484</v>
      </c>
      <c r="J13" s="32">
        <f t="shared" si="2"/>
        <v>542.65295515543778</v>
      </c>
      <c r="K13" s="32">
        <f t="shared" si="7"/>
        <v>492547.05545030383</v>
      </c>
      <c r="L13" s="32">
        <f t="shared" si="6"/>
        <v>4017748.6533550192</v>
      </c>
      <c r="M13" s="32">
        <f>L13/I13</f>
        <v>40.673402044643893</v>
      </c>
    </row>
    <row r="14" spans="1:15" x14ac:dyDescent="0.55000000000000004">
      <c r="A14" s="30" t="s">
        <v>12</v>
      </c>
      <c r="B14" s="59">
        <v>1852725.194443</v>
      </c>
      <c r="C14" s="59">
        <v>1837769.839562</v>
      </c>
      <c r="D14" s="21">
        <v>3480</v>
      </c>
      <c r="E14" s="25">
        <f t="shared" si="0"/>
        <v>1.8859258543553346E-3</v>
      </c>
      <c r="F14" s="33">
        <v>2.5</v>
      </c>
      <c r="G14" s="25">
        <f t="shared" si="4"/>
        <v>9.3853789497410738E-3</v>
      </c>
      <c r="H14" s="25">
        <f t="shared" si="1"/>
        <v>0.99061462105025888</v>
      </c>
      <c r="I14" s="32">
        <f t="shared" si="5"/>
        <v>98238.084612483042</v>
      </c>
      <c r="J14" s="32">
        <f t="shared" si="2"/>
        <v>922.0016513848808</v>
      </c>
      <c r="K14" s="32">
        <f t="shared" si="7"/>
        <v>488885.41893395304</v>
      </c>
      <c r="L14" s="32">
        <f t="shared" si="6"/>
        <v>3525201.5979047152</v>
      </c>
      <c r="M14" s="32">
        <f t="shared" si="3"/>
        <v>35.884266390274981</v>
      </c>
    </row>
    <row r="15" spans="1:15" x14ac:dyDescent="0.55000000000000004">
      <c r="A15" s="30" t="s">
        <v>13</v>
      </c>
      <c r="B15" s="59">
        <v>1740774.0473090003</v>
      </c>
      <c r="C15" s="59">
        <v>1710032.4818490001</v>
      </c>
      <c r="D15" s="21">
        <v>5300</v>
      </c>
      <c r="E15" s="25">
        <f t="shared" si="0"/>
        <v>3.0717456659578096E-3</v>
      </c>
      <c r="F15" s="33">
        <v>2.5</v>
      </c>
      <c r="G15" s="25">
        <f t="shared" si="4"/>
        <v>1.5241681903963035E-2</v>
      </c>
      <c r="H15" s="25">
        <f t="shared" si="1"/>
        <v>0.98475831809603698</v>
      </c>
      <c r="I15" s="32">
        <f t="shared" si="5"/>
        <v>97316.08296109816</v>
      </c>
      <c r="J15" s="32">
        <f t="shared" si="2"/>
        <v>1483.2607806327353</v>
      </c>
      <c r="K15" s="32">
        <f t="shared" si="7"/>
        <v>482872.26285390899</v>
      </c>
      <c r="L15" s="32">
        <f t="shared" si="6"/>
        <v>3036316.1789707621</v>
      </c>
      <c r="M15" s="32">
        <f t="shared" si="3"/>
        <v>31.200558906429897</v>
      </c>
    </row>
    <row r="16" spans="1:15" x14ac:dyDescent="0.55000000000000004">
      <c r="A16" s="30" t="s">
        <v>14</v>
      </c>
      <c r="B16" s="59">
        <v>1552291.1553739998</v>
      </c>
      <c r="C16" s="59">
        <v>1502138.5870239998</v>
      </c>
      <c r="D16" s="21">
        <v>7107</v>
      </c>
      <c r="E16" s="25">
        <f t="shared" si="0"/>
        <v>4.6535691434305979E-3</v>
      </c>
      <c r="F16" s="33">
        <v>2.5</v>
      </c>
      <c r="G16" s="25">
        <f t="shared" si="4"/>
        <v>2.3000262438219728E-2</v>
      </c>
      <c r="H16" s="25">
        <f t="shared" si="1"/>
        <v>0.97699973756178027</v>
      </c>
      <c r="I16" s="32">
        <f t="shared" si="5"/>
        <v>95832.822180465431</v>
      </c>
      <c r="J16" s="32">
        <f t="shared" si="2"/>
        <v>2204.1800603459496</v>
      </c>
      <c r="K16" s="32">
        <f t="shared" si="7"/>
        <v>473653.66075146227</v>
      </c>
      <c r="L16" s="32">
        <f t="shared" si="6"/>
        <v>2553443.9161168532</v>
      </c>
      <c r="M16" s="32">
        <f t="shared" si="3"/>
        <v>26.644774285248456</v>
      </c>
    </row>
    <row r="17" spans="1:15" x14ac:dyDescent="0.55000000000000004">
      <c r="A17" s="30" t="s">
        <v>15</v>
      </c>
      <c r="B17" s="59">
        <v>1303095.715569</v>
      </c>
      <c r="C17" s="59">
        <v>1271581.69098</v>
      </c>
      <c r="D17" s="21">
        <v>8816</v>
      </c>
      <c r="E17" s="25">
        <f t="shared" si="0"/>
        <v>6.8482365810764861E-3</v>
      </c>
      <c r="F17" s="33">
        <v>2.5</v>
      </c>
      <c r="G17" s="25">
        <f t="shared" si="4"/>
        <v>3.3664821254358678E-2</v>
      </c>
      <c r="H17" s="25">
        <f t="shared" si="1"/>
        <v>0.96633517874564134</v>
      </c>
      <c r="I17" s="32">
        <f t="shared" si="5"/>
        <v>93628.642120119475</v>
      </c>
      <c r="J17" s="32">
        <f t="shared" si="2"/>
        <v>3151.9915012621404</v>
      </c>
      <c r="K17" s="32">
        <f t="shared" si="7"/>
        <v>460263.23184744205</v>
      </c>
      <c r="L17" s="32">
        <f t="shared" si="6"/>
        <v>2079790.255365391</v>
      </c>
      <c r="M17" s="32">
        <f t="shared" si="3"/>
        <v>22.213184003001508</v>
      </c>
    </row>
    <row r="18" spans="1:15" x14ac:dyDescent="0.55000000000000004">
      <c r="A18" s="30" t="s">
        <v>16</v>
      </c>
      <c r="B18" s="59">
        <v>1190297.3994339998</v>
      </c>
      <c r="C18" s="59">
        <v>1195758.0264910001</v>
      </c>
      <c r="D18" s="21">
        <v>13274</v>
      </c>
      <c r="E18" s="25">
        <f t="shared" si="0"/>
        <v>1.1126313207794896E-2</v>
      </c>
      <c r="F18" s="33">
        <v>2.5</v>
      </c>
      <c r="G18" s="25">
        <f t="shared" si="4"/>
        <v>5.4126008724580676E-2</v>
      </c>
      <c r="H18" s="25">
        <f t="shared" si="1"/>
        <v>0.94587399127541927</v>
      </c>
      <c r="I18" s="32">
        <f t="shared" si="5"/>
        <v>90476.65061885734</v>
      </c>
      <c r="J18" s="32">
        <f t="shared" si="2"/>
        <v>4897.1399807671105</v>
      </c>
      <c r="K18" s="32">
        <f t="shared" si="7"/>
        <v>440140.40314236889</v>
      </c>
      <c r="L18" s="32">
        <f t="shared" si="6"/>
        <v>1619527.023517949</v>
      </c>
      <c r="M18" s="32">
        <f t="shared" si="3"/>
        <v>17.899944487781511</v>
      </c>
    </row>
    <row r="19" spans="1:15" x14ac:dyDescent="0.55000000000000004">
      <c r="A19" s="30" t="s">
        <v>17</v>
      </c>
      <c r="B19" s="59">
        <v>990172.96458799997</v>
      </c>
      <c r="C19" s="59">
        <v>978158.60904500005</v>
      </c>
      <c r="D19" s="21">
        <v>20192</v>
      </c>
      <c r="E19" s="25">
        <f t="shared" si="0"/>
        <v>2.0516868469199128E-2</v>
      </c>
      <c r="F19" s="33">
        <v>2.5</v>
      </c>
      <c r="G19" s="25">
        <f t="shared" si="4"/>
        <v>9.757928876378423E-2</v>
      </c>
      <c r="H19" s="25">
        <f t="shared" si="1"/>
        <v>0.90242071123621581</v>
      </c>
      <c r="I19" s="32">
        <f t="shared" si="5"/>
        <v>85579.510638090229</v>
      </c>
      <c r="J19" s="32">
        <f t="shared" si="2"/>
        <v>8350.7877808175508</v>
      </c>
      <c r="K19" s="32">
        <f t="shared" si="7"/>
        <v>407020.58373840724</v>
      </c>
      <c r="L19" s="32">
        <f t="shared" si="6"/>
        <v>1179386.6203755802</v>
      </c>
      <c r="M19" s="32">
        <f t="shared" si="3"/>
        <v>13.78117976583348</v>
      </c>
    </row>
    <row r="20" spans="1:15" x14ac:dyDescent="0.55000000000000004">
      <c r="A20" s="30" t="s">
        <v>18</v>
      </c>
      <c r="B20" s="59">
        <v>773764.04770800006</v>
      </c>
      <c r="C20" s="59">
        <v>762743.54011900001</v>
      </c>
      <c r="D20" s="21">
        <v>34834</v>
      </c>
      <c r="E20" s="25">
        <f t="shared" si="0"/>
        <v>4.534178714895102E-2</v>
      </c>
      <c r="F20" s="33">
        <v>2.5</v>
      </c>
      <c r="G20" s="25">
        <f t="shared" si="4"/>
        <v>0.20362691513511982</v>
      </c>
      <c r="H20" s="25">
        <f t="shared" si="1"/>
        <v>0.79637308486488023</v>
      </c>
      <c r="I20" s="32">
        <f t="shared" si="5"/>
        <v>77228.722857272674</v>
      </c>
      <c r="J20" s="32">
        <f t="shared" si="2"/>
        <v>15725.846595251551</v>
      </c>
      <c r="K20" s="32">
        <f t="shared" si="7"/>
        <v>346828.99779823452</v>
      </c>
      <c r="L20" s="32">
        <f t="shared" si="6"/>
        <v>772366.03663717292</v>
      </c>
      <c r="M20" s="32">
        <f t="shared" si="3"/>
        <v>10.001020450183953</v>
      </c>
    </row>
    <row r="21" spans="1:15" x14ac:dyDescent="0.55000000000000004">
      <c r="A21" s="30" t="s">
        <v>19</v>
      </c>
      <c r="B21" s="59">
        <v>630405.99606499996</v>
      </c>
      <c r="C21" s="59">
        <v>634690.18101399997</v>
      </c>
      <c r="D21" s="21">
        <v>58838</v>
      </c>
      <c r="E21" s="25">
        <f t="shared" si="0"/>
        <v>9.301743387740205E-2</v>
      </c>
      <c r="F21" s="33">
        <v>2.5</v>
      </c>
      <c r="G21" s="25">
        <f t="shared" si="4"/>
        <v>0.37733932914239526</v>
      </c>
      <c r="H21" s="25">
        <f t="shared" si="1"/>
        <v>0.62266067085760479</v>
      </c>
      <c r="I21" s="32">
        <f t="shared" si="5"/>
        <v>61502.876262021127</v>
      </c>
      <c r="J21" s="32">
        <f t="shared" si="2"/>
        <v>23207.454069038798</v>
      </c>
      <c r="K21" s="32">
        <f t="shared" si="7"/>
        <v>249495.74613750866</v>
      </c>
      <c r="L21" s="32">
        <f t="shared" si="6"/>
        <v>425537.0388389384</v>
      </c>
      <c r="M21" s="32">
        <f t="shared" si="3"/>
        <v>6.9189778544018008</v>
      </c>
    </row>
    <row r="22" spans="1:15" x14ac:dyDescent="0.55000000000000004">
      <c r="A22" s="30" t="s">
        <v>20</v>
      </c>
      <c r="B22" s="59">
        <v>309930.35198799998</v>
      </c>
      <c r="C22" s="59">
        <v>302355.335119</v>
      </c>
      <c r="D22" s="21">
        <v>55578</v>
      </c>
      <c r="E22" s="25">
        <f t="shared" si="0"/>
        <v>0.18154270521201146</v>
      </c>
      <c r="F22" s="33">
        <v>2.5</v>
      </c>
      <c r="G22" s="25">
        <f t="shared" si="4"/>
        <v>0.62434866290972368</v>
      </c>
      <c r="H22" s="25">
        <f t="shared" si="1"/>
        <v>0.37565133709027632</v>
      </c>
      <c r="I22" s="32">
        <f t="shared" si="5"/>
        <v>38295.422192982332</v>
      </c>
      <c r="J22" s="32">
        <f t="shared" si="2"/>
        <v>23909.695641751878</v>
      </c>
      <c r="K22" s="32">
        <f t="shared" si="7"/>
        <v>131702.87186053197</v>
      </c>
      <c r="L22" s="32">
        <f t="shared" si="6"/>
        <v>176041.29270142975</v>
      </c>
      <c r="M22" s="32">
        <f t="shared" si="3"/>
        <v>4.5969278472581889</v>
      </c>
    </row>
    <row r="23" spans="1:15" x14ac:dyDescent="0.55000000000000004">
      <c r="A23" s="30" t="s">
        <v>21</v>
      </c>
      <c r="B23" s="59">
        <v>96454.181653000007</v>
      </c>
      <c r="C23" s="59">
        <v>95055.931343999982</v>
      </c>
      <c r="D23" s="21">
        <v>31068</v>
      </c>
      <c r="E23" s="25">
        <f t="shared" si="0"/>
        <v>0.32445283973579692</v>
      </c>
      <c r="F23" s="33">
        <v>2.5</v>
      </c>
      <c r="G23" s="34">
        <v>1</v>
      </c>
      <c r="H23" s="34">
        <f t="shared" si="1"/>
        <v>0</v>
      </c>
      <c r="I23" s="32">
        <f t="shared" si="5"/>
        <v>14385.726551230455</v>
      </c>
      <c r="J23" s="32">
        <f>I23*G23</f>
        <v>14385.726551230455</v>
      </c>
      <c r="K23" s="32">
        <f>I23/E23</f>
        <v>44338.420840898798</v>
      </c>
      <c r="L23" s="32">
        <f t="shared" si="6"/>
        <v>44338.420840897772</v>
      </c>
      <c r="M23" s="32">
        <f t="shared" si="3"/>
        <v>3.082112028405362</v>
      </c>
    </row>
    <row r="24" spans="1:15" x14ac:dyDescent="0.55000000000000004">
      <c r="A24" s="30" t="s">
        <v>46</v>
      </c>
      <c r="B24" s="59">
        <f>SUM(B3:B23)</f>
        <v>24171412.603943001</v>
      </c>
      <c r="C24" s="59">
        <f>SUM(C3:C23)</f>
        <v>24133300.559142001</v>
      </c>
      <c r="D24" s="21">
        <f>SUM(D3:D23)</f>
        <v>244112</v>
      </c>
    </row>
    <row r="26" spans="1:15" ht="14.7" thickBot="1" x14ac:dyDescent="0.6"/>
    <row r="27" spans="1:15" ht="14.7" thickBot="1" x14ac:dyDescent="0.6">
      <c r="A27" s="152" t="s">
        <v>69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4"/>
    </row>
    <row r="28" spans="1:15" x14ac:dyDescent="0.55000000000000004">
      <c r="A28" s="42" t="s">
        <v>66</v>
      </c>
      <c r="B28" s="62" t="s">
        <v>94</v>
      </c>
      <c r="C28" s="62" t="s">
        <v>95</v>
      </c>
      <c r="D28" s="42" t="s">
        <v>47</v>
      </c>
      <c r="E28" s="42" t="s">
        <v>48</v>
      </c>
      <c r="F28" s="42" t="s">
        <v>99</v>
      </c>
      <c r="G28" s="42" t="s">
        <v>49</v>
      </c>
      <c r="H28" s="42" t="s">
        <v>50</v>
      </c>
      <c r="I28" s="42" t="s">
        <v>51</v>
      </c>
      <c r="J28" s="42" t="s">
        <v>52</v>
      </c>
      <c r="K28" s="42" t="s">
        <v>53</v>
      </c>
      <c r="L28" s="42" t="s">
        <v>54</v>
      </c>
      <c r="M28" s="42" t="s">
        <v>114</v>
      </c>
      <c r="O28" t="s">
        <v>100</v>
      </c>
    </row>
    <row r="29" spans="1:15" x14ac:dyDescent="0.55000000000000004">
      <c r="A29" s="30">
        <v>0</v>
      </c>
      <c r="B29" s="59">
        <v>174641</v>
      </c>
      <c r="C29" s="59">
        <v>185084</v>
      </c>
      <c r="D29" s="21">
        <v>496</v>
      </c>
      <c r="E29" s="25">
        <f>D29/AVERAGE(B29:C29)</f>
        <v>2.7576621029953437E-3</v>
      </c>
      <c r="F29" s="25">
        <f>0.045+2.684*E29</f>
        <v>5.2401565084439501E-2</v>
      </c>
      <c r="G29" s="25">
        <f>E29/(1+(1-F29)*E29)</f>
        <v>2.7504746827698096E-3</v>
      </c>
      <c r="H29" s="25">
        <f>1-G29</f>
        <v>0.99724952531723021</v>
      </c>
      <c r="I29" s="34">
        <v>100000</v>
      </c>
      <c r="J29" s="32">
        <f>I29*G29</f>
        <v>275.04746827698096</v>
      </c>
      <c r="K29" s="32">
        <f>I30+F29*J29</f>
        <v>99739.365449533245</v>
      </c>
      <c r="L29" s="32">
        <f>SUM(K29:K49)</f>
        <v>7946440.5898336433</v>
      </c>
      <c r="M29" s="32">
        <f>L29/I29</f>
        <v>79.464405898336437</v>
      </c>
      <c r="O29" t="s">
        <v>67</v>
      </c>
    </row>
    <row r="30" spans="1:15" x14ac:dyDescent="0.55000000000000004">
      <c r="A30" s="60" t="s">
        <v>2</v>
      </c>
      <c r="B30" s="59">
        <v>815315.91082999995</v>
      </c>
      <c r="C30" s="59">
        <v>849797.84378399991</v>
      </c>
      <c r="D30" s="21">
        <v>117</v>
      </c>
      <c r="E30" s="25">
        <f t="shared" ref="E30:E49" si="8">D30/AVERAGE(B30:C30)</f>
        <v>1.4053093931365966E-4</v>
      </c>
      <c r="F30" s="25">
        <f>1.651-2.816*E29</f>
        <v>1.6432344235179652</v>
      </c>
      <c r="G30" s="25">
        <f>(4*E30)/(1+(4-F30)*E30)</f>
        <v>5.6193764436085632E-4</v>
      </c>
      <c r="H30" s="25">
        <f t="shared" ref="H30:H49" si="9">1-G30</f>
        <v>0.99943806235563915</v>
      </c>
      <c r="I30" s="32">
        <f>I29*H29</f>
        <v>99724.952531723015</v>
      </c>
      <c r="J30" s="32">
        <f>I30*G30</f>
        <v>56.039204909674645</v>
      </c>
      <c r="K30" s="32">
        <f>4*I31+F30*J30</f>
        <v>398767.73885782756</v>
      </c>
      <c r="L30" s="32">
        <f>L29-K29</f>
        <v>7846701.2243841104</v>
      </c>
      <c r="M30" s="32">
        <f t="shared" ref="M30:M49" si="10">L30/I30</f>
        <v>78.683429023323271</v>
      </c>
    </row>
    <row r="31" spans="1:15" x14ac:dyDescent="0.55000000000000004">
      <c r="A31" s="61" t="s">
        <v>3</v>
      </c>
      <c r="B31" s="59">
        <v>1182656.165336</v>
      </c>
      <c r="C31" s="59">
        <v>1201414.9500189999</v>
      </c>
      <c r="D31" s="21">
        <v>67</v>
      </c>
      <c r="E31" s="25">
        <f t="shared" si="8"/>
        <v>5.6206377040076986E-5</v>
      </c>
      <c r="F31" s="33">
        <v>2.5</v>
      </c>
      <c r="G31" s="25">
        <f t="shared" ref="G31:G48" si="11">(5*E31)/(1+(5-F31)*E31)</f>
        <v>2.809924012882544E-4</v>
      </c>
      <c r="H31" s="25">
        <f>1-G31</f>
        <v>0.9997190075987118</v>
      </c>
      <c r="I31" s="32">
        <f t="shared" ref="I31:I49" si="12">I30*H30</f>
        <v>99668.913326813345</v>
      </c>
      <c r="J31" s="32">
        <f t="shared" ref="J31:J48" si="13">I31*G31</f>
        <v>28.006207289492181</v>
      </c>
      <c r="K31" s="32">
        <f>5*I32+F31*J31</f>
        <v>498274.551115843</v>
      </c>
      <c r="L31" s="32">
        <f t="shared" ref="L31:L49" si="14">L30-K30</f>
        <v>7447933.4855262833</v>
      </c>
      <c r="M31" s="32">
        <f t="shared" si="10"/>
        <v>74.726745149759836</v>
      </c>
    </row>
    <row r="32" spans="1:15" x14ac:dyDescent="0.55000000000000004">
      <c r="A32" s="61" t="s">
        <v>5</v>
      </c>
      <c r="B32" s="59">
        <v>1310725.2894619999</v>
      </c>
      <c r="C32" s="59">
        <v>1308405.6781200001</v>
      </c>
      <c r="D32" s="21">
        <v>109</v>
      </c>
      <c r="E32" s="25">
        <f>D32/AVERAGE(B32:C32)</f>
        <v>8.323371480780097E-5</v>
      </c>
      <c r="F32" s="33">
        <v>2.5</v>
      </c>
      <c r="G32" s="25">
        <f t="shared" si="11"/>
        <v>4.160819939139596E-4</v>
      </c>
      <c r="H32" s="25">
        <f t="shared" si="9"/>
        <v>0.99958391800608604</v>
      </c>
      <c r="I32" s="32">
        <f t="shared" si="12"/>
        <v>99640.90711952385</v>
      </c>
      <c r="J32" s="32">
        <f t="shared" si="13"/>
        <v>41.458787309687139</v>
      </c>
      <c r="K32" s="32">
        <f t="shared" ref="K32:K48" si="15">5*I33+F32*J32</f>
        <v>498100.88862934499</v>
      </c>
      <c r="L32" s="32">
        <f t="shared" si="14"/>
        <v>6949658.9344104398</v>
      </c>
      <c r="M32" s="32">
        <f t="shared" si="10"/>
        <v>69.747046020707188</v>
      </c>
    </row>
    <row r="33" spans="1:13" x14ac:dyDescent="0.55000000000000004">
      <c r="A33" s="30" t="s">
        <v>4</v>
      </c>
      <c r="B33" s="59">
        <v>1259327.745016</v>
      </c>
      <c r="C33" s="59">
        <v>1240778.35145</v>
      </c>
      <c r="D33" s="21">
        <v>242</v>
      </c>
      <c r="E33" s="25">
        <f t="shared" si="8"/>
        <v>1.9359178423833826E-4</v>
      </c>
      <c r="F33" s="33">
        <v>2.5</v>
      </c>
      <c r="G33" s="25">
        <f t="shared" si="11"/>
        <v>9.6749067557639441E-4</v>
      </c>
      <c r="H33" s="25">
        <f t="shared" si="9"/>
        <v>0.99903250932442356</v>
      </c>
      <c r="I33" s="32">
        <f t="shared" si="12"/>
        <v>99599.44833221416</v>
      </c>
      <c r="J33" s="32">
        <f t="shared" si="13"/>
        <v>96.361537553970066</v>
      </c>
      <c r="K33" s="32">
        <f t="shared" si="15"/>
        <v>497756.33781718585</v>
      </c>
      <c r="L33" s="32">
        <f t="shared" si="14"/>
        <v>6451558.0457810946</v>
      </c>
      <c r="M33" s="32">
        <f t="shared" si="10"/>
        <v>64.775037952639153</v>
      </c>
    </row>
    <row r="34" spans="1:13" x14ac:dyDescent="0.55000000000000004">
      <c r="A34" s="30" t="s">
        <v>6</v>
      </c>
      <c r="B34" s="59">
        <v>1228307.144693</v>
      </c>
      <c r="C34" s="59">
        <v>1203843.353507</v>
      </c>
      <c r="D34" s="21">
        <v>458</v>
      </c>
      <c r="E34" s="25">
        <f t="shared" si="8"/>
        <v>3.7662143057262226E-4</v>
      </c>
      <c r="F34" s="33">
        <v>2.5</v>
      </c>
      <c r="G34" s="25">
        <f t="shared" si="11"/>
        <v>1.881335774436222E-3</v>
      </c>
      <c r="H34" s="25">
        <f t="shared" si="9"/>
        <v>0.99811866422556372</v>
      </c>
      <c r="I34" s="32">
        <f>I33*H33</f>
        <v>99503.086794660179</v>
      </c>
      <c r="J34" s="32">
        <f t="shared" si="13"/>
        <v>187.19871685362662</v>
      </c>
      <c r="K34" s="32">
        <f t="shared" si="15"/>
        <v>497047.43718116684</v>
      </c>
      <c r="L34" s="32">
        <f t="shared" si="14"/>
        <v>5953801.707963909</v>
      </c>
      <c r="M34" s="32">
        <f t="shared" si="10"/>
        <v>59.835346819445796</v>
      </c>
    </row>
    <row r="35" spans="1:13" x14ac:dyDescent="0.55000000000000004">
      <c r="A35" s="30" t="s">
        <v>7</v>
      </c>
      <c r="B35" s="59">
        <v>1283969.3690790001</v>
      </c>
      <c r="C35" s="59">
        <v>1287412.491686</v>
      </c>
      <c r="D35" s="21">
        <v>580</v>
      </c>
      <c r="E35" s="25">
        <f t="shared" si="8"/>
        <v>4.51119305809715E-4</v>
      </c>
      <c r="F35" s="33">
        <v>2.5</v>
      </c>
      <c r="G35" s="25">
        <f t="shared" si="11"/>
        <v>2.2530555369241548E-3</v>
      </c>
      <c r="H35" s="25">
        <f t="shared" si="9"/>
        <v>0.99774694446307588</v>
      </c>
      <c r="I35" s="32">
        <f t="shared" si="12"/>
        <v>99315.88807780655</v>
      </c>
      <c r="J35" s="32">
        <f t="shared" si="13"/>
        <v>223.76421153824171</v>
      </c>
      <c r="K35" s="32">
        <f t="shared" si="15"/>
        <v>496020.02986018721</v>
      </c>
      <c r="L35" s="32">
        <f t="shared" si="14"/>
        <v>5456754.2707827426</v>
      </c>
      <c r="M35" s="32">
        <f t="shared" si="10"/>
        <v>54.943417175183342</v>
      </c>
    </row>
    <row r="36" spans="1:13" x14ac:dyDescent="0.55000000000000004">
      <c r="A36" s="30" t="s">
        <v>8</v>
      </c>
      <c r="B36" s="59">
        <v>1373685.0567340001</v>
      </c>
      <c r="C36" s="59">
        <v>1386532.038197</v>
      </c>
      <c r="D36" s="21">
        <v>848</v>
      </c>
      <c r="E36" s="25">
        <f t="shared" si="8"/>
        <v>6.1444442290956708E-4</v>
      </c>
      <c r="F36" s="33">
        <v>2.5</v>
      </c>
      <c r="G36" s="25">
        <f t="shared" si="11"/>
        <v>3.0675100783981086E-3</v>
      </c>
      <c r="H36" s="25">
        <f t="shared" si="9"/>
        <v>0.99693248992160188</v>
      </c>
      <c r="I36" s="32">
        <f t="shared" si="12"/>
        <v>99092.123866268317</v>
      </c>
      <c r="J36" s="32">
        <f t="shared" si="13"/>
        <v>303.96608864965179</v>
      </c>
      <c r="K36" s="32">
        <f t="shared" si="15"/>
        <v>494700.70410971745</v>
      </c>
      <c r="L36" s="32">
        <f t="shared" si="14"/>
        <v>4960734.2409225553</v>
      </c>
      <c r="M36" s="32">
        <f t="shared" si="10"/>
        <v>50.061841924161499</v>
      </c>
    </row>
    <row r="37" spans="1:13" x14ac:dyDescent="0.55000000000000004">
      <c r="A37" s="30" t="s">
        <v>9</v>
      </c>
      <c r="B37" s="59">
        <v>1588932.0487939999</v>
      </c>
      <c r="C37" s="59">
        <v>1655991.6088719997</v>
      </c>
      <c r="D37" s="21">
        <v>1250</v>
      </c>
      <c r="E37" s="25">
        <f t="shared" si="8"/>
        <v>7.7043414999728951E-4</v>
      </c>
      <c r="F37" s="33">
        <v>2.5</v>
      </c>
      <c r="G37" s="25">
        <f t="shared" si="11"/>
        <v>3.844765403572347E-3</v>
      </c>
      <c r="H37" s="25">
        <f t="shared" si="9"/>
        <v>0.99615523459642763</v>
      </c>
      <c r="I37" s="32">
        <f t="shared" si="12"/>
        <v>98788.15777761866</v>
      </c>
      <c r="J37" s="32">
        <f t="shared" si="13"/>
        <v>379.81729130603469</v>
      </c>
      <c r="K37" s="32">
        <f t="shared" si="15"/>
        <v>492991.24565982819</v>
      </c>
      <c r="L37" s="32">
        <f t="shared" si="14"/>
        <v>4466033.5368128382</v>
      </c>
      <c r="M37" s="32">
        <f t="shared" si="10"/>
        <v>45.208187269432592</v>
      </c>
    </row>
    <row r="38" spans="1:13" x14ac:dyDescent="0.55000000000000004">
      <c r="A38" s="30" t="s">
        <v>10</v>
      </c>
      <c r="B38" s="59">
        <v>1949687.667386</v>
      </c>
      <c r="C38" s="59">
        <v>1992696.7970550002</v>
      </c>
      <c r="D38" s="21">
        <v>2273</v>
      </c>
      <c r="E38" s="25">
        <f t="shared" si="8"/>
        <v>1.1531092517747599E-3</v>
      </c>
      <c r="F38" s="33">
        <v>2.5</v>
      </c>
      <c r="G38" s="25">
        <f t="shared" si="11"/>
        <v>5.748973273199968E-3</v>
      </c>
      <c r="H38" s="25">
        <f t="shared" si="9"/>
        <v>0.99425102672679999</v>
      </c>
      <c r="I38" s="32">
        <f t="shared" si="12"/>
        <v>98408.34048631262</v>
      </c>
      <c r="J38" s="32">
        <f t="shared" si="13"/>
        <v>565.74691931577354</v>
      </c>
      <c r="K38" s="32">
        <f t="shared" si="15"/>
        <v>490627.33513327368</v>
      </c>
      <c r="L38" s="32">
        <f t="shared" si="14"/>
        <v>3973042.29115301</v>
      </c>
      <c r="M38" s="32">
        <f t="shared" si="10"/>
        <v>40.373023988811305</v>
      </c>
    </row>
    <row r="39" spans="1:13" x14ac:dyDescent="0.55000000000000004">
      <c r="A39" s="30" t="s">
        <v>11</v>
      </c>
      <c r="B39" s="59">
        <v>1982306.2896400001</v>
      </c>
      <c r="C39" s="59">
        <v>1956277.035311</v>
      </c>
      <c r="D39" s="21">
        <v>3912</v>
      </c>
      <c r="E39" s="25">
        <f t="shared" si="8"/>
        <v>1.9865010727168858E-3</v>
      </c>
      <c r="F39" s="33">
        <v>2.5</v>
      </c>
      <c r="G39" s="25">
        <f t="shared" si="11"/>
        <v>9.8834217935966969E-3</v>
      </c>
      <c r="H39" s="25">
        <f t="shared" si="9"/>
        <v>0.99011657820640331</v>
      </c>
      <c r="I39" s="32">
        <f t="shared" si="12"/>
        <v>97842.593566996846</v>
      </c>
      <c r="J39" s="32">
        <f t="shared" si="13"/>
        <v>967.01962160208063</v>
      </c>
      <c r="K39" s="32">
        <f t="shared" si="15"/>
        <v>486795.418780979</v>
      </c>
      <c r="L39" s="32">
        <f t="shared" si="14"/>
        <v>3482414.9560197364</v>
      </c>
      <c r="M39" s="32">
        <f t="shared" si="10"/>
        <v>35.592013958983863</v>
      </c>
    </row>
    <row r="40" spans="1:13" x14ac:dyDescent="0.55000000000000004">
      <c r="A40" s="30" t="s">
        <v>12</v>
      </c>
      <c r="B40" s="59">
        <v>1847825.756878</v>
      </c>
      <c r="C40" s="59">
        <v>1829153.7506889999</v>
      </c>
      <c r="D40" s="21">
        <v>6909</v>
      </c>
      <c r="E40" s="25">
        <f t="shared" si="8"/>
        <v>3.7579757982233509E-3</v>
      </c>
      <c r="F40" s="33">
        <v>2.5</v>
      </c>
      <c r="G40" s="25">
        <f t="shared" si="11"/>
        <v>1.8614992265076076E-2</v>
      </c>
      <c r="H40" s="25">
        <f t="shared" si="9"/>
        <v>0.98138500773492388</v>
      </c>
      <c r="I40" s="32">
        <f t="shared" si="12"/>
        <v>96875.573945394761</v>
      </c>
      <c r="J40" s="32">
        <f t="shared" si="13"/>
        <v>1803.3380596683289</v>
      </c>
      <c r="K40" s="32">
        <f t="shared" si="15"/>
        <v>479869.52457780298</v>
      </c>
      <c r="L40" s="32">
        <f t="shared" si="14"/>
        <v>2995619.5372387571</v>
      </c>
      <c r="M40" s="32">
        <f t="shared" si="10"/>
        <v>30.922341052939505</v>
      </c>
    </row>
    <row r="41" spans="1:13" x14ac:dyDescent="0.55000000000000004">
      <c r="A41" s="30" t="s">
        <v>13</v>
      </c>
      <c r="B41" s="59">
        <v>1688390.0297920001</v>
      </c>
      <c r="C41" s="59">
        <v>1658246.6504250001</v>
      </c>
      <c r="D41" s="21">
        <v>10547</v>
      </c>
      <c r="E41" s="25">
        <f t="shared" si="8"/>
        <v>6.3030445236834723E-3</v>
      </c>
      <c r="F41" s="33">
        <v>2.5</v>
      </c>
      <c r="G41" s="25">
        <f t="shared" si="11"/>
        <v>3.1026321897600583E-2</v>
      </c>
      <c r="H41" s="25">
        <f t="shared" si="9"/>
        <v>0.96897367810239943</v>
      </c>
      <c r="I41" s="32">
        <f t="shared" si="12"/>
        <v>95072.235885726433</v>
      </c>
      <c r="J41" s="32">
        <f t="shared" si="13"/>
        <v>2949.7417941151621</v>
      </c>
      <c r="K41" s="32">
        <f t="shared" si="15"/>
        <v>467986.82494334423</v>
      </c>
      <c r="L41" s="32">
        <f t="shared" si="14"/>
        <v>2515750.0126609541</v>
      </c>
      <c r="M41" s="32">
        <f t="shared" si="10"/>
        <v>26.461458376605336</v>
      </c>
    </row>
    <row r="42" spans="1:13" x14ac:dyDescent="0.55000000000000004">
      <c r="A42" s="30" t="s">
        <v>14</v>
      </c>
      <c r="B42" s="59">
        <v>1464713.3509120001</v>
      </c>
      <c r="C42" s="59">
        <v>1416706.8580070001</v>
      </c>
      <c r="D42" s="21">
        <v>14860</v>
      </c>
      <c r="E42" s="25">
        <f t="shared" si="8"/>
        <v>1.0314358144642091E-2</v>
      </c>
      <c r="F42" s="33">
        <v>2.5</v>
      </c>
      <c r="G42" s="25">
        <f t="shared" si="11"/>
        <v>5.0275394657313559E-2</v>
      </c>
      <c r="H42" s="25">
        <f t="shared" si="9"/>
        <v>0.94972460534268643</v>
      </c>
      <c r="I42" s="32">
        <f t="shared" si="12"/>
        <v>92122.494091611268</v>
      </c>
      <c r="J42" s="32">
        <f t="shared" si="13"/>
        <v>4631.4947472717931</v>
      </c>
      <c r="K42" s="32">
        <f t="shared" si="15"/>
        <v>449033.73358987685</v>
      </c>
      <c r="L42" s="32">
        <f t="shared" si="14"/>
        <v>2047763.18771761</v>
      </c>
      <c r="M42" s="32">
        <f t="shared" si="10"/>
        <v>22.228698950347685</v>
      </c>
    </row>
    <row r="43" spans="1:13" x14ac:dyDescent="0.55000000000000004">
      <c r="A43" s="30" t="s">
        <v>15</v>
      </c>
      <c r="B43" s="59">
        <v>1187560.6054739999</v>
      </c>
      <c r="C43" s="59">
        <v>1160177.6192840002</v>
      </c>
      <c r="D43" s="21">
        <v>18720</v>
      </c>
      <c r="E43" s="25">
        <f t="shared" si="8"/>
        <v>1.594726345773036E-2</v>
      </c>
      <c r="F43" s="33">
        <v>2.5</v>
      </c>
      <c r="G43" s="25">
        <f t="shared" si="11"/>
        <v>7.6679256524792405E-2</v>
      </c>
      <c r="H43" s="25">
        <f t="shared" si="9"/>
        <v>0.92332074347520754</v>
      </c>
      <c r="I43" s="32">
        <f t="shared" si="12"/>
        <v>87490.999344339478</v>
      </c>
      <c r="J43" s="32">
        <f t="shared" si="13"/>
        <v>6708.7447823350512</v>
      </c>
      <c r="K43" s="32">
        <f t="shared" si="15"/>
        <v>420683.13476585975</v>
      </c>
      <c r="L43" s="32">
        <f t="shared" si="14"/>
        <v>1598729.4541277331</v>
      </c>
      <c r="M43" s="32">
        <f t="shared" si="10"/>
        <v>18.27307341450739</v>
      </c>
    </row>
    <row r="44" spans="1:13" x14ac:dyDescent="0.55000000000000004">
      <c r="A44" s="30" t="s">
        <v>16</v>
      </c>
      <c r="B44" s="59">
        <v>1024937.861487</v>
      </c>
      <c r="C44" s="59">
        <v>1028566.103591</v>
      </c>
      <c r="D44" s="21">
        <v>25542</v>
      </c>
      <c r="E44" s="25">
        <f t="shared" si="8"/>
        <v>2.4876504194166302E-2</v>
      </c>
      <c r="F44" s="33">
        <v>2.5</v>
      </c>
      <c r="G44" s="25">
        <f t="shared" si="11"/>
        <v>0.11709992879624086</v>
      </c>
      <c r="H44" s="25">
        <f t="shared" si="9"/>
        <v>0.88290007120375913</v>
      </c>
      <c r="I44" s="32">
        <f t="shared" si="12"/>
        <v>80782.254562004426</v>
      </c>
      <c r="J44" s="32">
        <f t="shared" si="13"/>
        <v>9459.5962572105218</v>
      </c>
      <c r="K44" s="32">
        <f t="shared" si="15"/>
        <v>380262.28216699581</v>
      </c>
      <c r="L44" s="32">
        <f t="shared" si="14"/>
        <v>1178046.3193618734</v>
      </c>
      <c r="M44" s="32">
        <f t="shared" si="10"/>
        <v>14.5829839207776</v>
      </c>
    </row>
    <row r="45" spans="1:13" x14ac:dyDescent="0.55000000000000004">
      <c r="A45" s="30" t="s">
        <v>17</v>
      </c>
      <c r="B45" s="59">
        <v>791420.92440399993</v>
      </c>
      <c r="C45" s="59">
        <v>782021.30897899996</v>
      </c>
      <c r="D45" s="21">
        <v>32183</v>
      </c>
      <c r="E45" s="25">
        <f t="shared" si="8"/>
        <v>4.0907761743250684E-2</v>
      </c>
      <c r="F45" s="33">
        <v>2.5</v>
      </c>
      <c r="G45" s="25">
        <f t="shared" si="11"/>
        <v>0.18556154049777004</v>
      </c>
      <c r="H45" s="25">
        <f t="shared" si="9"/>
        <v>0.81443845950222993</v>
      </c>
      <c r="I45" s="32">
        <f t="shared" si="12"/>
        <v>71322.658304793906</v>
      </c>
      <c r="J45" s="32">
        <f t="shared" si="13"/>
        <v>13234.74234743363</v>
      </c>
      <c r="K45" s="32">
        <f t="shared" si="15"/>
        <v>323526.43565538543</v>
      </c>
      <c r="L45" s="32">
        <f t="shared" si="14"/>
        <v>797784.03719487763</v>
      </c>
      <c r="M45" s="32">
        <f t="shared" si="10"/>
        <v>11.185562290535868</v>
      </c>
    </row>
    <row r="46" spans="1:13" x14ac:dyDescent="0.55000000000000004">
      <c r="A46" s="30" t="s">
        <v>18</v>
      </c>
      <c r="B46" s="59">
        <v>533546.00712100009</v>
      </c>
      <c r="C46" s="59">
        <v>520934.37720799999</v>
      </c>
      <c r="D46" s="21">
        <v>39211</v>
      </c>
      <c r="E46" s="25">
        <f t="shared" si="8"/>
        <v>7.437027863719102E-2</v>
      </c>
      <c r="F46" s="33">
        <v>2.5</v>
      </c>
      <c r="G46" s="25">
        <f t="shared" si="11"/>
        <v>0.31355370260905857</v>
      </c>
      <c r="H46" s="25">
        <f t="shared" si="9"/>
        <v>0.68644629739094143</v>
      </c>
      <c r="I46" s="32">
        <f t="shared" si="12"/>
        <v>58087.915957360274</v>
      </c>
      <c r="J46" s="32">
        <f t="shared" si="13"/>
        <v>18213.681125274132</v>
      </c>
      <c r="K46" s="32">
        <f t="shared" si="15"/>
        <v>244905.37697361602</v>
      </c>
      <c r="L46" s="32">
        <f t="shared" si="14"/>
        <v>474257.6015394922</v>
      </c>
      <c r="M46" s="32">
        <f t="shared" si="10"/>
        <v>8.1644795431742363</v>
      </c>
    </row>
    <row r="47" spans="1:13" x14ac:dyDescent="0.55000000000000004">
      <c r="A47" s="30" t="s">
        <v>19</v>
      </c>
      <c r="B47" s="59">
        <v>366343.86362299998</v>
      </c>
      <c r="C47" s="59">
        <v>367030.77844000002</v>
      </c>
      <c r="D47" s="21">
        <v>48556</v>
      </c>
      <c r="E47" s="25">
        <f t="shared" si="8"/>
        <v>0.13241799542839616</v>
      </c>
      <c r="F47" s="33">
        <v>2.5</v>
      </c>
      <c r="G47" s="25">
        <f t="shared" si="11"/>
        <v>0.49742118623112846</v>
      </c>
      <c r="H47" s="25">
        <f t="shared" si="9"/>
        <v>0.50257881376887159</v>
      </c>
      <c r="I47" s="32">
        <f t="shared" si="12"/>
        <v>39874.234832086142</v>
      </c>
      <c r="J47" s="32">
        <f t="shared" si="13"/>
        <v>19834.289190234871</v>
      </c>
      <c r="K47" s="32">
        <f t="shared" si="15"/>
        <v>149785.45118484355</v>
      </c>
      <c r="L47" s="32">
        <f t="shared" si="14"/>
        <v>229352.22456587618</v>
      </c>
      <c r="M47" s="32">
        <f t="shared" si="10"/>
        <v>5.751890300383149</v>
      </c>
    </row>
    <row r="48" spans="1:13" x14ac:dyDescent="0.55000000000000004">
      <c r="A48" s="30" t="s">
        <v>20</v>
      </c>
      <c r="B48" s="59">
        <v>140287.309247</v>
      </c>
      <c r="C48" s="59">
        <v>136407.38231599997</v>
      </c>
      <c r="D48" s="21">
        <v>31606</v>
      </c>
      <c r="E48" s="25">
        <f t="shared" si="8"/>
        <v>0.22845396723343861</v>
      </c>
      <c r="F48" s="33">
        <v>2.5</v>
      </c>
      <c r="G48" s="25">
        <f t="shared" si="11"/>
        <v>0.72703484787957307</v>
      </c>
      <c r="H48" s="25">
        <f t="shared" si="9"/>
        <v>0.27296515212042693</v>
      </c>
      <c r="I48" s="32">
        <f t="shared" si="12"/>
        <v>20039.945641851275</v>
      </c>
      <c r="J48" s="32">
        <f t="shared" si="13"/>
        <v>14569.738831238255</v>
      </c>
      <c r="K48" s="32">
        <f t="shared" si="15"/>
        <v>63775.381131160742</v>
      </c>
      <c r="L48" s="32">
        <f t="shared" si="14"/>
        <v>79566.773381032632</v>
      </c>
      <c r="M48" s="32">
        <f t="shared" si="10"/>
        <v>3.9704086429688696</v>
      </c>
    </row>
    <row r="49" spans="1:13" x14ac:dyDescent="0.55000000000000004">
      <c r="A49" s="30" t="s">
        <v>21</v>
      </c>
      <c r="B49" s="59">
        <v>32702.945541000001</v>
      </c>
      <c r="C49" s="59">
        <v>31834.352107999999</v>
      </c>
      <c r="D49" s="21">
        <v>11178</v>
      </c>
      <c r="E49" s="25">
        <f t="shared" si="8"/>
        <v>0.34640434003896359</v>
      </c>
      <c r="F49" s="33">
        <v>2.5</v>
      </c>
      <c r="G49" s="34">
        <v>1</v>
      </c>
      <c r="H49" s="34">
        <f t="shared" si="9"/>
        <v>0</v>
      </c>
      <c r="I49" s="32">
        <f t="shared" si="12"/>
        <v>5470.20681061302</v>
      </c>
      <c r="J49" s="32">
        <f>I49*G49</f>
        <v>5470.20681061302</v>
      </c>
      <c r="K49" s="32">
        <f>I49/E49</f>
        <v>15791.392249871149</v>
      </c>
      <c r="L49" s="32">
        <f t="shared" si="14"/>
        <v>15791.392249871889</v>
      </c>
      <c r="M49" s="32">
        <f t="shared" si="10"/>
        <v>2.886799859053633</v>
      </c>
    </row>
    <row r="50" spans="1:13" x14ac:dyDescent="0.55000000000000004">
      <c r="A50" s="30" t="s">
        <v>46</v>
      </c>
      <c r="B50" s="59">
        <f>SUM(B29:B49)</f>
        <v>23227282.341449004</v>
      </c>
      <c r="C50" s="59">
        <f t="shared" ref="C50" si="16">SUM(C29:C49)</f>
        <v>23199313.329048</v>
      </c>
      <c r="D50" s="59">
        <f>SUM(D29:D49)</f>
        <v>249664</v>
      </c>
    </row>
  </sheetData>
  <mergeCells count="2">
    <mergeCell ref="A1:M1"/>
    <mergeCell ref="A27:M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0D88C-589F-4AA8-81F4-879D3084FBAC}">
  <dimension ref="A1:T24"/>
  <sheetViews>
    <sheetView topLeftCell="L1" workbookViewId="0">
      <selection activeCell="R17" sqref="R17"/>
    </sheetView>
  </sheetViews>
  <sheetFormatPr defaultRowHeight="14.4" x14ac:dyDescent="0.55000000000000004"/>
  <cols>
    <col min="2" max="2" width="11.41796875" customWidth="1"/>
    <col min="3" max="3" width="12" customWidth="1"/>
    <col min="4" max="4" width="12.89453125" customWidth="1"/>
    <col min="5" max="5" width="9" bestFit="1" customWidth="1"/>
    <col min="8" max="8" width="11.68359375" customWidth="1"/>
    <col min="9" max="9" width="13.5234375" bestFit="1" customWidth="1"/>
    <col min="10" max="10" width="14.5234375" bestFit="1" customWidth="1"/>
    <col min="11" max="11" width="9.41796875" bestFit="1" customWidth="1"/>
    <col min="13" max="13" width="10.20703125" customWidth="1"/>
    <col min="14" max="14" width="10.41796875" customWidth="1"/>
    <col min="15" max="15" width="11" customWidth="1"/>
    <col min="16" max="16" width="10.5234375" customWidth="1"/>
    <col min="17" max="17" width="8.68359375" customWidth="1"/>
  </cols>
  <sheetData>
    <row r="1" spans="1:18" x14ac:dyDescent="0.55000000000000004">
      <c r="A1" s="159" t="s">
        <v>55</v>
      </c>
      <c r="B1" s="160"/>
      <c r="C1" s="160"/>
      <c r="D1" s="160"/>
      <c r="E1" s="161"/>
      <c r="G1" s="157" t="s">
        <v>56</v>
      </c>
      <c r="H1" s="157"/>
      <c r="I1" s="157"/>
      <c r="J1" s="157"/>
      <c r="K1" s="158"/>
      <c r="L1" s="24"/>
      <c r="N1" s="155" t="s">
        <v>60</v>
      </c>
      <c r="O1" s="156"/>
      <c r="P1" s="156"/>
      <c r="Q1" s="156"/>
    </row>
    <row r="2" spans="1:18" ht="16.5" x14ac:dyDescent="0.55000000000000004">
      <c r="A2" s="43" t="s">
        <v>66</v>
      </c>
      <c r="B2" s="44" t="s">
        <v>51</v>
      </c>
      <c r="C2" s="44" t="s">
        <v>53</v>
      </c>
      <c r="D2" s="44" t="s">
        <v>54</v>
      </c>
      <c r="E2" s="44" t="s">
        <v>114</v>
      </c>
      <c r="G2" s="45" t="s">
        <v>66</v>
      </c>
      <c r="H2" s="46" t="s">
        <v>51</v>
      </c>
      <c r="I2" s="46" t="s">
        <v>53</v>
      </c>
      <c r="J2" s="46" t="s">
        <v>54</v>
      </c>
      <c r="K2" s="46" t="s">
        <v>114</v>
      </c>
      <c r="L2" s="135" t="s">
        <v>66</v>
      </c>
      <c r="M2" s="79" t="s">
        <v>96</v>
      </c>
      <c r="N2" s="79" t="s">
        <v>57</v>
      </c>
      <c r="O2" s="79" t="s">
        <v>58</v>
      </c>
      <c r="P2" s="79" t="s">
        <v>59</v>
      </c>
      <c r="Q2" s="79" t="s">
        <v>61</v>
      </c>
      <c r="R2" s="136" t="s">
        <v>140</v>
      </c>
    </row>
    <row r="3" spans="1:18" x14ac:dyDescent="0.55000000000000004">
      <c r="A3" s="6">
        <v>0</v>
      </c>
      <c r="B3" s="34">
        <v>100000</v>
      </c>
      <c r="C3" s="32">
        <v>99739.365449533245</v>
      </c>
      <c r="D3" s="32">
        <v>7946440.5898336433</v>
      </c>
      <c r="E3" s="38">
        <v>79.464405898336437</v>
      </c>
      <c r="G3" s="35">
        <v>0</v>
      </c>
      <c r="H3" s="34">
        <v>100000</v>
      </c>
      <c r="I3" s="32">
        <v>99783.2499627496</v>
      </c>
      <c r="J3" s="32">
        <v>8494786.3197124489</v>
      </c>
      <c r="K3" s="38">
        <v>84.947863197124491</v>
      </c>
      <c r="L3" s="35">
        <v>0</v>
      </c>
      <c r="M3" s="39">
        <f>K3-E3</f>
        <v>5.4834572987880534</v>
      </c>
      <c r="N3" s="31">
        <f>(B3/$B$3)*(I3/H3-C3/B3)</f>
        <v>4.3884513216352339E-4</v>
      </c>
      <c r="O3" s="31">
        <f>(J4/$B$3)*(B3/H3-B4/H4)</f>
        <v>3.7522358253496917E-2</v>
      </c>
      <c r="P3" s="31">
        <f>SUM(N3:O3)</f>
        <v>3.796120338566044E-2</v>
      </c>
      <c r="Q3" s="137">
        <f>P3/$P$24</f>
        <v>6.9228593052143494E-3</v>
      </c>
      <c r="R3" s="98">
        <f t="shared" ref="R3:R21" si="0">R4+Q3</f>
        <v>1.0000000000000002</v>
      </c>
    </row>
    <row r="4" spans="1:18" x14ac:dyDescent="0.55000000000000004">
      <c r="A4" s="28" t="s">
        <v>2</v>
      </c>
      <c r="B4" s="32">
        <v>99724.952531723015</v>
      </c>
      <c r="C4" s="32">
        <v>398767.73885782756</v>
      </c>
      <c r="D4" s="32">
        <v>7846701.2243841104</v>
      </c>
      <c r="E4" s="32">
        <v>78.683429023323271</v>
      </c>
      <c r="G4" s="36" t="s">
        <v>2</v>
      </c>
      <c r="H4" s="32">
        <v>99769.545590252266</v>
      </c>
      <c r="I4" s="32">
        <v>398988.75260642165</v>
      </c>
      <c r="J4" s="32">
        <v>8395003.0697496999</v>
      </c>
      <c r="K4" s="32">
        <v>84.143944127273969</v>
      </c>
      <c r="L4" s="36" t="s">
        <v>2</v>
      </c>
      <c r="M4" s="31">
        <f t="shared" ref="M4:M23" si="1">K4-E4</f>
        <v>5.4605151039506978</v>
      </c>
      <c r="N4" s="31">
        <f t="shared" ref="N4:N23" si="2">(B4/$B$3)*(I4/H4-C4/B4)</f>
        <v>4.2681486056135619E-4</v>
      </c>
      <c r="O4" s="31">
        <f t="shared" ref="O4:O22" si="3">(J5/$B$3)*(B4/H4-B5/H5)</f>
        <v>1.604823811925046E-2</v>
      </c>
      <c r="P4" s="31">
        <f t="shared" ref="P4:P23" si="4">SUM(N4:O4)</f>
        <v>1.6475052979811815E-2</v>
      </c>
      <c r="Q4" s="137">
        <f>P4/$P$24</f>
        <v>3.0045010076859904E-3</v>
      </c>
      <c r="R4" s="98">
        <f t="shared" si="0"/>
        <v>0.99307714069478581</v>
      </c>
    </row>
    <row r="5" spans="1:18" x14ac:dyDescent="0.55000000000000004">
      <c r="A5" s="29" t="s">
        <v>3</v>
      </c>
      <c r="B5" s="32">
        <v>99668.913326813345</v>
      </c>
      <c r="C5" s="32">
        <v>498274.551115843</v>
      </c>
      <c r="D5" s="32">
        <v>7447933.4855262833</v>
      </c>
      <c r="E5" s="32">
        <v>74.726745149759836</v>
      </c>
      <c r="G5" s="37" t="s">
        <v>3</v>
      </c>
      <c r="H5" s="32">
        <v>99733.507088511644</v>
      </c>
      <c r="I5" s="32">
        <v>498587.42925889004</v>
      </c>
      <c r="J5" s="32">
        <v>7996014.3171432782</v>
      </c>
      <c r="K5" s="32">
        <v>80.173800667081352</v>
      </c>
      <c r="L5" s="37" t="s">
        <v>3</v>
      </c>
      <c r="M5" s="31">
        <f t="shared" si="1"/>
        <v>5.447055517321516</v>
      </c>
      <c r="N5" s="31">
        <f t="shared" si="2"/>
        <v>-1.0038783585595709E-4</v>
      </c>
      <c r="O5" s="31">
        <f t="shared" si="3"/>
        <v>-3.0196164626804882E-3</v>
      </c>
      <c r="P5" s="31">
        <f t="shared" si="4"/>
        <v>-3.1200042985364451E-3</v>
      </c>
      <c r="Q5" s="137">
        <f t="shared" ref="Q5:Q23" si="5">P5/$P$24</f>
        <v>-5.689848809848528E-4</v>
      </c>
      <c r="R5" s="98">
        <f t="shared" si="0"/>
        <v>0.9900726396870998</v>
      </c>
    </row>
    <row r="6" spans="1:18" x14ac:dyDescent="0.55000000000000004">
      <c r="A6" s="29" t="s">
        <v>5</v>
      </c>
      <c r="B6" s="32">
        <v>99640.90711952385</v>
      </c>
      <c r="C6" s="32">
        <v>498100.88862934499</v>
      </c>
      <c r="D6" s="32">
        <v>6949658.9344104398</v>
      </c>
      <c r="E6" s="32">
        <v>69.747046020707188</v>
      </c>
      <c r="G6" s="37" t="s">
        <v>5</v>
      </c>
      <c r="H6" s="32">
        <v>99701.464615044373</v>
      </c>
      <c r="I6" s="32">
        <v>498426.09524739865</v>
      </c>
      <c r="J6" s="32">
        <v>7497426.8878843877</v>
      </c>
      <c r="K6" s="32">
        <v>75.198763797829599</v>
      </c>
      <c r="L6" s="37" t="s">
        <v>5</v>
      </c>
      <c r="M6" s="31">
        <f t="shared" si="1"/>
        <v>5.4517177771224112</v>
      </c>
      <c r="N6" s="31">
        <f t="shared" si="2"/>
        <v>2.2468477277082338E-4</v>
      </c>
      <c r="O6" s="31">
        <f t="shared" si="3"/>
        <v>6.3111672479246048E-3</v>
      </c>
      <c r="P6" s="31">
        <f t="shared" si="4"/>
        <v>6.535852020695428E-3</v>
      </c>
      <c r="Q6" s="137">
        <f t="shared" si="5"/>
        <v>1.1919217501958062E-3</v>
      </c>
      <c r="R6" s="98">
        <f t="shared" si="0"/>
        <v>0.99064162456808469</v>
      </c>
    </row>
    <row r="7" spans="1:18" x14ac:dyDescent="0.55000000000000004">
      <c r="A7" s="6" t="s">
        <v>4</v>
      </c>
      <c r="B7" s="32">
        <v>99599.44833221416</v>
      </c>
      <c r="C7" s="32">
        <v>497756.33781718585</v>
      </c>
      <c r="D7" s="32">
        <v>6451558.0457810946</v>
      </c>
      <c r="E7" s="32">
        <v>64.775037952639153</v>
      </c>
      <c r="G7" s="35" t="s">
        <v>4</v>
      </c>
      <c r="H7" s="32">
        <v>99668.973483915077</v>
      </c>
      <c r="I7" s="32">
        <v>498198.91475204856</v>
      </c>
      <c r="J7" s="32">
        <v>6999000.7926369887</v>
      </c>
      <c r="K7" s="32">
        <v>70.22246289881285</v>
      </c>
      <c r="L7" s="35" t="s">
        <v>4</v>
      </c>
      <c r="M7" s="31">
        <f t="shared" si="1"/>
        <v>5.4474249461736974</v>
      </c>
      <c r="N7" s="31">
        <f t="shared" si="2"/>
        <v>9.5052987192518915E-4</v>
      </c>
      <c r="O7" s="31">
        <f t="shared" si="3"/>
        <v>2.4813450965271832E-2</v>
      </c>
      <c r="P7" s="31">
        <f t="shared" si="4"/>
        <v>2.5763980837197022E-2</v>
      </c>
      <c r="Q7" s="137">
        <f t="shared" si="5"/>
        <v>4.6984921069580183E-3</v>
      </c>
      <c r="R7" s="98">
        <f t="shared" si="0"/>
        <v>0.98944970281788891</v>
      </c>
    </row>
    <row r="8" spans="1:18" x14ac:dyDescent="0.55000000000000004">
      <c r="A8" s="6" t="s">
        <v>6</v>
      </c>
      <c r="B8" s="32">
        <v>99503.086794660179</v>
      </c>
      <c r="C8" s="32">
        <v>497047.43718116684</v>
      </c>
      <c r="D8" s="32">
        <v>5953801.707963909</v>
      </c>
      <c r="E8" s="32">
        <v>59.835346819445796</v>
      </c>
      <c r="G8" s="35" t="s">
        <v>6</v>
      </c>
      <c r="H8" s="32">
        <v>99610.592416904357</v>
      </c>
      <c r="I8" s="32">
        <v>497890.42715971189</v>
      </c>
      <c r="J8" s="32">
        <v>6500801.8778849402</v>
      </c>
      <c r="K8" s="32">
        <v>65.262154557588246</v>
      </c>
      <c r="L8" s="35" t="s">
        <v>6</v>
      </c>
      <c r="M8" s="31">
        <f t="shared" si="1"/>
        <v>5.4268077381424504</v>
      </c>
      <c r="N8" s="31">
        <f t="shared" si="2"/>
        <v>3.0563728459451541E-3</v>
      </c>
      <c r="O8" s="31">
        <f t="shared" si="3"/>
        <v>7.3723557955468755E-2</v>
      </c>
      <c r="P8" s="31">
        <f t="shared" si="4"/>
        <v>7.6779930801413904E-2</v>
      </c>
      <c r="Q8" s="137">
        <f t="shared" si="5"/>
        <v>1.4002102436064133E-2</v>
      </c>
      <c r="R8" s="98">
        <f t="shared" si="0"/>
        <v>0.98475121071093086</v>
      </c>
    </row>
    <row r="9" spans="1:18" x14ac:dyDescent="0.55000000000000004">
      <c r="A9" s="6" t="s">
        <v>7</v>
      </c>
      <c r="B9" s="32">
        <v>99315.88807780655</v>
      </c>
      <c r="C9" s="32">
        <v>496020.02986018721</v>
      </c>
      <c r="D9" s="32">
        <v>5456754.2707827426</v>
      </c>
      <c r="E9" s="32">
        <v>54.943417175183342</v>
      </c>
      <c r="G9" s="35" t="s">
        <v>7</v>
      </c>
      <c r="H9" s="32">
        <v>99545.578446980406</v>
      </c>
      <c r="I9" s="32">
        <v>497486.64027829759</v>
      </c>
      <c r="J9" s="32">
        <v>6002911.4507252285</v>
      </c>
      <c r="K9" s="32">
        <v>60.303144995259402</v>
      </c>
      <c r="L9" s="35" t="s">
        <v>7</v>
      </c>
      <c r="M9" s="31">
        <f t="shared" si="1"/>
        <v>5.3597278200760599</v>
      </c>
      <c r="N9" s="31">
        <f t="shared" si="2"/>
        <v>3.1871523434343399E-3</v>
      </c>
      <c r="O9" s="31">
        <f t="shared" si="3"/>
        <v>7.0575325576955283E-2</v>
      </c>
      <c r="P9" s="31">
        <f t="shared" si="4"/>
        <v>7.3762477920389619E-2</v>
      </c>
      <c r="Q9" s="137">
        <f t="shared" si="5"/>
        <v>1.3451819518443675E-2</v>
      </c>
      <c r="R9" s="98">
        <f t="shared" si="0"/>
        <v>0.97074910827486671</v>
      </c>
    </row>
    <row r="10" spans="1:18" x14ac:dyDescent="0.55000000000000004">
      <c r="A10" s="6" t="s">
        <v>8</v>
      </c>
      <c r="B10" s="32">
        <v>99092.123866268317</v>
      </c>
      <c r="C10" s="32">
        <v>494700.70410971745</v>
      </c>
      <c r="D10" s="32">
        <v>4960734.2409225553</v>
      </c>
      <c r="E10" s="32">
        <v>50.061841924161499</v>
      </c>
      <c r="G10" s="35" t="s">
        <v>8</v>
      </c>
      <c r="H10" s="32">
        <v>99449.077664338634</v>
      </c>
      <c r="I10" s="32">
        <v>496907.36022913147</v>
      </c>
      <c r="J10" s="32">
        <v>5505424.810446931</v>
      </c>
      <c r="K10" s="32">
        <v>55.359234492137645</v>
      </c>
      <c r="L10" s="35" t="s">
        <v>8</v>
      </c>
      <c r="M10" s="31">
        <f t="shared" si="1"/>
        <v>5.2973925679761464</v>
      </c>
      <c r="N10" s="31">
        <f t="shared" si="2"/>
        <v>4.2310041745407499E-3</v>
      </c>
      <c r="O10" s="31">
        <f t="shared" si="3"/>
        <v>8.5349846914448399E-2</v>
      </c>
      <c r="P10" s="31">
        <f t="shared" si="4"/>
        <v>8.9580851088989152E-2</v>
      </c>
      <c r="Q10" s="137">
        <f t="shared" si="5"/>
        <v>1.6336563997459804E-2</v>
      </c>
      <c r="R10" s="98">
        <f t="shared" si="0"/>
        <v>0.95729728875642306</v>
      </c>
    </row>
    <row r="11" spans="1:18" x14ac:dyDescent="0.55000000000000004">
      <c r="A11" s="6" t="s">
        <v>9</v>
      </c>
      <c r="B11" s="32">
        <v>98788.15777761866</v>
      </c>
      <c r="C11" s="32">
        <v>492991.24565982819</v>
      </c>
      <c r="D11" s="32">
        <v>4466033.5368128382</v>
      </c>
      <c r="E11" s="32">
        <v>45.208187269432592</v>
      </c>
      <c r="G11" s="35" t="s">
        <v>9</v>
      </c>
      <c r="H11" s="32">
        <v>99313.866427313944</v>
      </c>
      <c r="I11" s="32">
        <v>496050.80950598448</v>
      </c>
      <c r="J11" s="32">
        <v>5008517.4502177993</v>
      </c>
      <c r="K11" s="32">
        <v>50.431199895771293</v>
      </c>
      <c r="L11" s="35" t="s">
        <v>9</v>
      </c>
      <c r="M11" s="31">
        <f t="shared" si="1"/>
        <v>5.2230126263387007</v>
      </c>
      <c r="N11" s="31">
        <f t="shared" si="2"/>
        <v>4.3376534865745518E-3</v>
      </c>
      <c r="O11" s="31">
        <f t="shared" si="3"/>
        <v>7.899996498938526E-2</v>
      </c>
      <c r="P11" s="31">
        <f t="shared" si="4"/>
        <v>8.3337618475959815E-2</v>
      </c>
      <c r="Q11" s="137">
        <f t="shared" si="5"/>
        <v>1.5198006282346528E-2</v>
      </c>
      <c r="R11" s="98">
        <f t="shared" si="0"/>
        <v>0.94096072475896331</v>
      </c>
    </row>
    <row r="12" spans="1:18" x14ac:dyDescent="0.55000000000000004">
      <c r="A12" s="6" t="s">
        <v>10</v>
      </c>
      <c r="B12" s="32">
        <v>98408.34048631262</v>
      </c>
      <c r="C12" s="32">
        <v>490627.33513327368</v>
      </c>
      <c r="D12" s="32">
        <v>3973042.29115301</v>
      </c>
      <c r="E12" s="32">
        <v>40.373023988811305</v>
      </c>
      <c r="G12" s="35" t="s">
        <v>10</v>
      </c>
      <c r="H12" s="32">
        <v>99106.457375079844</v>
      </c>
      <c r="I12" s="32">
        <v>494717.98735679587</v>
      </c>
      <c r="J12" s="32">
        <v>4512466.6407118151</v>
      </c>
      <c r="K12" s="32">
        <v>45.531509855446288</v>
      </c>
      <c r="L12" s="35" t="s">
        <v>10</v>
      </c>
      <c r="M12" s="31">
        <f t="shared" si="1"/>
        <v>5.1584858666349831</v>
      </c>
      <c r="N12" s="31">
        <f t="shared" si="2"/>
        <v>6.058037959004098E-3</v>
      </c>
      <c r="O12" s="31">
        <f t="shared" si="3"/>
        <v>9.8560405403309834E-2</v>
      </c>
      <c r="P12" s="31">
        <f t="shared" si="4"/>
        <v>0.10461844336231393</v>
      </c>
      <c r="Q12" s="137">
        <f t="shared" si="5"/>
        <v>1.9078920042914622E-2</v>
      </c>
      <c r="R12" s="98">
        <f t="shared" si="0"/>
        <v>0.92576271847661673</v>
      </c>
    </row>
    <row r="13" spans="1:18" x14ac:dyDescent="0.55000000000000004">
      <c r="A13" s="6" t="s">
        <v>11</v>
      </c>
      <c r="B13" s="32">
        <v>97842.593566996846</v>
      </c>
      <c r="C13" s="32">
        <v>486795.418780979</v>
      </c>
      <c r="D13" s="32">
        <v>3482414.9560197364</v>
      </c>
      <c r="E13" s="32">
        <v>35.592013958983863</v>
      </c>
      <c r="G13" s="35" t="s">
        <v>11</v>
      </c>
      <c r="H13" s="32">
        <v>98780.737567638484</v>
      </c>
      <c r="I13" s="32">
        <v>492547.05545030383</v>
      </c>
      <c r="J13" s="32">
        <v>4017748.6533550192</v>
      </c>
      <c r="K13" s="32">
        <v>40.673402044643893</v>
      </c>
      <c r="L13" s="35" t="s">
        <v>11</v>
      </c>
      <c r="M13" s="31">
        <f t="shared" si="1"/>
        <v>5.0813880856600306</v>
      </c>
      <c r="N13" s="31">
        <f t="shared" si="2"/>
        <v>1.0738009243951968E-2</v>
      </c>
      <c r="O13" s="31">
        <f t="shared" si="3"/>
        <v>0.15413023368449075</v>
      </c>
      <c r="P13" s="31">
        <f t="shared" si="4"/>
        <v>0.16486824292844271</v>
      </c>
      <c r="Q13" s="137">
        <f t="shared" si="5"/>
        <v>3.0066477031722591E-2</v>
      </c>
      <c r="R13" s="98">
        <f t="shared" si="0"/>
        <v>0.90668379843370206</v>
      </c>
    </row>
    <row r="14" spans="1:18" x14ac:dyDescent="0.55000000000000004">
      <c r="A14" s="6" t="s">
        <v>12</v>
      </c>
      <c r="B14" s="32">
        <v>96875.573945394761</v>
      </c>
      <c r="C14" s="32">
        <v>479869.52457780298</v>
      </c>
      <c r="D14" s="32">
        <v>2995619.5372387571</v>
      </c>
      <c r="E14" s="32">
        <v>30.922341052939505</v>
      </c>
      <c r="G14" s="35" t="s">
        <v>12</v>
      </c>
      <c r="H14" s="32">
        <v>98238.084612483042</v>
      </c>
      <c r="I14" s="32">
        <v>488885.41893395304</v>
      </c>
      <c r="J14" s="32">
        <v>3525201.5979047152</v>
      </c>
      <c r="K14" s="32">
        <v>35.884266390274981</v>
      </c>
      <c r="L14" s="35" t="s">
        <v>12</v>
      </c>
      <c r="M14" s="31">
        <f t="shared" si="1"/>
        <v>4.9619253373354759</v>
      </c>
      <c r="N14" s="31">
        <f t="shared" si="2"/>
        <v>2.2353102180428575E-2</v>
      </c>
      <c r="O14" s="31">
        <f t="shared" si="3"/>
        <v>0.2789717125287593</v>
      </c>
      <c r="P14" s="31">
        <f t="shared" si="4"/>
        <v>0.30132481470918787</v>
      </c>
      <c r="Q14" s="137">
        <f t="shared" si="5"/>
        <v>5.4951611417815925E-2</v>
      </c>
      <c r="R14" s="98">
        <f t="shared" si="0"/>
        <v>0.87661732140197945</v>
      </c>
    </row>
    <row r="15" spans="1:18" x14ac:dyDescent="0.55000000000000004">
      <c r="A15" s="6" t="s">
        <v>13</v>
      </c>
      <c r="B15" s="32">
        <v>95072.235885726433</v>
      </c>
      <c r="C15" s="32">
        <v>467986.82494334423</v>
      </c>
      <c r="D15" s="32">
        <v>2515750.0126609541</v>
      </c>
      <c r="E15" s="32">
        <v>26.461458376605336</v>
      </c>
      <c r="G15" s="35" t="s">
        <v>13</v>
      </c>
      <c r="H15" s="32">
        <v>97316.08296109816</v>
      </c>
      <c r="I15" s="32">
        <v>482872.26285390899</v>
      </c>
      <c r="J15" s="32">
        <v>3036316.1789707621</v>
      </c>
      <c r="K15" s="32">
        <v>31.200558906429897</v>
      </c>
      <c r="L15" s="35" t="s">
        <v>13</v>
      </c>
      <c r="M15" s="31">
        <f t="shared" si="1"/>
        <v>4.7391005298245616</v>
      </c>
      <c r="N15" s="31">
        <f t="shared" si="2"/>
        <v>3.7517025421160199E-2</v>
      </c>
      <c r="O15" s="31">
        <f t="shared" si="3"/>
        <v>0.39985306968029155</v>
      </c>
      <c r="P15" s="31">
        <f t="shared" si="4"/>
        <v>0.43737009510145175</v>
      </c>
      <c r="Q15" s="137">
        <f t="shared" si="5"/>
        <v>7.9761739951566407E-2</v>
      </c>
      <c r="R15" s="98">
        <f t="shared" si="0"/>
        <v>0.82166570998416355</v>
      </c>
    </row>
    <row r="16" spans="1:18" x14ac:dyDescent="0.55000000000000004">
      <c r="A16" s="6" t="s">
        <v>14</v>
      </c>
      <c r="B16" s="32">
        <v>92122.494091611268</v>
      </c>
      <c r="C16" s="32">
        <v>449033.73358987685</v>
      </c>
      <c r="D16" s="32">
        <v>2047763.18771761</v>
      </c>
      <c r="E16" s="32">
        <v>22.228698950347685</v>
      </c>
      <c r="G16" s="35" t="s">
        <v>14</v>
      </c>
      <c r="H16" s="32">
        <v>95832.822180465431</v>
      </c>
      <c r="I16" s="32">
        <v>473653.66075146227</v>
      </c>
      <c r="J16" s="32">
        <v>2553443.9161168532</v>
      </c>
      <c r="K16" s="32">
        <v>26.644774285248456</v>
      </c>
      <c r="L16" s="35" t="s">
        <v>14</v>
      </c>
      <c r="M16" s="31">
        <f t="shared" si="1"/>
        <v>4.4160753349007713</v>
      </c>
      <c r="N16" s="31">
        <f t="shared" si="2"/>
        <v>6.2816330167534698E-2</v>
      </c>
      <c r="O16" s="31">
        <f t="shared" si="3"/>
        <v>0.55814028016189543</v>
      </c>
      <c r="P16" s="90">
        <f t="shared" si="4"/>
        <v>0.62095661032943017</v>
      </c>
      <c r="Q16" s="137">
        <f t="shared" si="5"/>
        <v>0.11324180649071031</v>
      </c>
      <c r="R16" s="98">
        <f t="shared" si="0"/>
        <v>0.74190397003259712</v>
      </c>
    </row>
    <row r="17" spans="1:20" x14ac:dyDescent="0.55000000000000004">
      <c r="A17" s="6" t="s">
        <v>15</v>
      </c>
      <c r="B17" s="32">
        <v>87490.999344339478</v>
      </c>
      <c r="C17" s="32">
        <v>420683.13476585975</v>
      </c>
      <c r="D17" s="32">
        <v>1598729.4541277331</v>
      </c>
      <c r="E17" s="32">
        <v>18.27307341450739</v>
      </c>
      <c r="G17" s="35" t="s">
        <v>15</v>
      </c>
      <c r="H17" s="32">
        <v>93628.642120119475</v>
      </c>
      <c r="I17" s="32">
        <v>460263.23184744205</v>
      </c>
      <c r="J17" s="32">
        <v>2079790.255365391</v>
      </c>
      <c r="K17" s="32">
        <v>22.213184003001508</v>
      </c>
      <c r="L17" s="35" t="s">
        <v>15</v>
      </c>
      <c r="M17" s="31">
        <f t="shared" si="1"/>
        <v>3.9401105884941181</v>
      </c>
      <c r="N17" s="31">
        <f t="shared" si="2"/>
        <v>9.4084398201066621E-2</v>
      </c>
      <c r="O17" s="31">
        <f t="shared" si="3"/>
        <v>0.67364220198616809</v>
      </c>
      <c r="P17" s="90">
        <f t="shared" si="4"/>
        <v>0.76772660018723471</v>
      </c>
      <c r="Q17" s="137">
        <f t="shared" si="5"/>
        <v>0.14000776487434599</v>
      </c>
      <c r="R17" s="98">
        <f t="shared" si="0"/>
        <v>0.62866216354188675</v>
      </c>
    </row>
    <row r="18" spans="1:20" x14ac:dyDescent="0.55000000000000004">
      <c r="A18" s="6" t="s">
        <v>16</v>
      </c>
      <c r="B18" s="32">
        <v>80782.254562004426</v>
      </c>
      <c r="C18" s="32">
        <v>380262.28216699581</v>
      </c>
      <c r="D18" s="32">
        <v>1178046.3193618734</v>
      </c>
      <c r="E18" s="32">
        <v>14.5829839207776</v>
      </c>
      <c r="G18" s="35" t="s">
        <v>16</v>
      </c>
      <c r="H18" s="32">
        <v>90476.65061885734</v>
      </c>
      <c r="I18" s="32">
        <v>440140.40314236889</v>
      </c>
      <c r="J18" s="32">
        <v>1619527.023517949</v>
      </c>
      <c r="K18" s="32">
        <v>17.899944487781511</v>
      </c>
      <c r="L18" s="35" t="s">
        <v>16</v>
      </c>
      <c r="M18" s="31">
        <f t="shared" si="1"/>
        <v>3.3169605670039104</v>
      </c>
      <c r="N18" s="31">
        <f t="shared" si="2"/>
        <v>0.12717938104990387</v>
      </c>
      <c r="O18" s="31">
        <f t="shared" si="3"/>
        <v>0.70107276510246563</v>
      </c>
      <c r="P18" s="90">
        <f t="shared" si="4"/>
        <v>0.82825214615236953</v>
      </c>
      <c r="Q18" s="137">
        <f t="shared" si="5"/>
        <v>0.15104560882336554</v>
      </c>
      <c r="R18" s="98">
        <f t="shared" si="0"/>
        <v>0.48865439866754073</v>
      </c>
      <c r="S18" t="s">
        <v>124</v>
      </c>
    </row>
    <row r="19" spans="1:20" x14ac:dyDescent="0.55000000000000004">
      <c r="A19" s="6" t="s">
        <v>17</v>
      </c>
      <c r="B19" s="32">
        <v>71322.658304793906</v>
      </c>
      <c r="C19" s="32">
        <v>323526.43565538543</v>
      </c>
      <c r="D19" s="32">
        <v>797784.03719487763</v>
      </c>
      <c r="E19" s="32">
        <v>11.185562290535868</v>
      </c>
      <c r="G19" s="35" t="s">
        <v>17</v>
      </c>
      <c r="H19" s="32">
        <v>85579.510638090229</v>
      </c>
      <c r="I19" s="32">
        <v>407020.58373840724</v>
      </c>
      <c r="J19" s="32">
        <v>1179386.6203755802</v>
      </c>
      <c r="K19" s="32">
        <v>13.78117976583348</v>
      </c>
      <c r="L19" s="35" t="s">
        <v>17</v>
      </c>
      <c r="M19" s="31">
        <f t="shared" si="1"/>
        <v>2.5956174752976118</v>
      </c>
      <c r="N19" s="31">
        <f t="shared" si="2"/>
        <v>0.15687820193273561</v>
      </c>
      <c r="O19" s="31">
        <f t="shared" si="3"/>
        <v>0.62757684228695143</v>
      </c>
      <c r="P19" s="90">
        <f t="shared" si="4"/>
        <v>0.78445504421968704</v>
      </c>
      <c r="Q19" s="137">
        <f t="shared" si="5"/>
        <v>0.14305847597154914</v>
      </c>
      <c r="R19" s="98">
        <f t="shared" si="0"/>
        <v>0.33760878984417519</v>
      </c>
      <c r="S19" s="72">
        <f>SUM(P16:P19)</f>
        <v>3.0013904008887211</v>
      </c>
      <c r="T19" s="98">
        <f>SUM(Q16:Q19)</f>
        <v>0.547353656159971</v>
      </c>
    </row>
    <row r="20" spans="1:20" x14ac:dyDescent="0.55000000000000004">
      <c r="A20" s="6" t="s">
        <v>18</v>
      </c>
      <c r="B20" s="32">
        <v>58087.915957360274</v>
      </c>
      <c r="C20" s="32">
        <v>244905.37697361602</v>
      </c>
      <c r="D20" s="32">
        <v>474257.6015394922</v>
      </c>
      <c r="E20" s="32">
        <v>8.1644795431742363</v>
      </c>
      <c r="G20" s="35" t="s">
        <v>18</v>
      </c>
      <c r="H20" s="32">
        <v>77228.722857272674</v>
      </c>
      <c r="I20" s="32">
        <v>346828.99779823452</v>
      </c>
      <c r="J20" s="32">
        <v>772366.03663717292</v>
      </c>
      <c r="K20" s="32">
        <v>10.001020450183953</v>
      </c>
      <c r="L20" s="35" t="s">
        <v>18</v>
      </c>
      <c r="M20" s="31">
        <f t="shared" si="1"/>
        <v>1.8365409070097165</v>
      </c>
      <c r="N20" s="31">
        <f t="shared" si="2"/>
        <v>0.15963544980621977</v>
      </c>
      <c r="O20" s="31">
        <f t="shared" si="3"/>
        <v>0.44180565679468026</v>
      </c>
      <c r="P20" s="90">
        <f t="shared" si="4"/>
        <v>0.6014411066009</v>
      </c>
      <c r="Q20" s="137">
        <f t="shared" si="5"/>
        <v>0.10968282852021649</v>
      </c>
      <c r="R20" s="98">
        <f t="shared" si="0"/>
        <v>0.19455031387262606</v>
      </c>
      <c r="S20" s="72">
        <f>SUM(P16:P20)</f>
        <v>3.6028315074896211</v>
      </c>
      <c r="T20" s="99">
        <f>SUM(Q16:Q20)</f>
        <v>0.65703648468018749</v>
      </c>
    </row>
    <row r="21" spans="1:20" x14ac:dyDescent="0.55000000000000004">
      <c r="A21" s="6" t="s">
        <v>19</v>
      </c>
      <c r="B21" s="32">
        <v>39874.234832086142</v>
      </c>
      <c r="C21" s="32">
        <v>149785.45118484355</v>
      </c>
      <c r="D21" s="32">
        <v>229352.22456587618</v>
      </c>
      <c r="E21" s="32">
        <v>5.751890300383149</v>
      </c>
      <c r="G21" s="35" t="s">
        <v>19</v>
      </c>
      <c r="H21" s="32">
        <v>61502.876262021127</v>
      </c>
      <c r="I21" s="32">
        <v>249495.74613750866</v>
      </c>
      <c r="J21" s="32">
        <v>425537.0388389384</v>
      </c>
      <c r="K21" s="32">
        <v>6.9189778544018008</v>
      </c>
      <c r="L21" s="35" t="s">
        <v>19</v>
      </c>
      <c r="M21" s="31">
        <f t="shared" si="1"/>
        <v>1.1670875540186518</v>
      </c>
      <c r="N21" s="31">
        <f t="shared" si="2"/>
        <v>0.11970430421572889</v>
      </c>
      <c r="O21" s="31">
        <f t="shared" si="3"/>
        <v>0.22010881979437982</v>
      </c>
      <c r="P21" s="31">
        <f t="shared" si="4"/>
        <v>0.33981312401010871</v>
      </c>
      <c r="Q21" s="137">
        <f t="shared" si="5"/>
        <v>6.1970597288176846E-2</v>
      </c>
      <c r="R21" s="98">
        <f t="shared" si="0"/>
        <v>8.4867485352409566E-2</v>
      </c>
      <c r="S21" s="72"/>
    </row>
    <row r="22" spans="1:20" x14ac:dyDescent="0.55000000000000004">
      <c r="A22" s="6" t="s">
        <v>20</v>
      </c>
      <c r="B22" s="32">
        <v>20039.945641851275</v>
      </c>
      <c r="C22" s="32">
        <v>63775.381131160742</v>
      </c>
      <c r="D22" s="32">
        <v>79566.773381032632</v>
      </c>
      <c r="E22" s="32">
        <v>3.9704086429688696</v>
      </c>
      <c r="G22" s="35" t="s">
        <v>20</v>
      </c>
      <c r="H22" s="32">
        <v>38295.422192982332</v>
      </c>
      <c r="I22" s="32">
        <v>131702.87186053197</v>
      </c>
      <c r="J22" s="32">
        <v>176041.29270142975</v>
      </c>
      <c r="K22" s="32">
        <v>4.5969278472581889</v>
      </c>
      <c r="L22" s="35" t="s">
        <v>20</v>
      </c>
      <c r="M22" s="31">
        <f t="shared" si="1"/>
        <v>0.62651920428931929</v>
      </c>
      <c r="N22" s="31">
        <f t="shared" si="2"/>
        <v>5.1445639124121645E-2</v>
      </c>
      <c r="O22" s="31">
        <f t="shared" si="3"/>
        <v>6.3424489261382763E-2</v>
      </c>
      <c r="P22" s="31">
        <f t="shared" si="4"/>
        <v>0.11487012838550441</v>
      </c>
      <c r="Q22" s="137">
        <f t="shared" si="5"/>
        <v>2.0948485987279008E-2</v>
      </c>
      <c r="R22" s="98">
        <f>R23+Q22</f>
        <v>2.289688806423272E-2</v>
      </c>
    </row>
    <row r="23" spans="1:20" x14ac:dyDescent="0.55000000000000004">
      <c r="A23" s="6" t="s">
        <v>21</v>
      </c>
      <c r="B23" s="32">
        <v>5470.20681061302</v>
      </c>
      <c r="C23" s="32">
        <v>15791.392249871149</v>
      </c>
      <c r="D23" s="32">
        <v>15791.392249871889</v>
      </c>
      <c r="E23" s="32">
        <v>2.886799859053633</v>
      </c>
      <c r="G23" s="35" t="s">
        <v>21</v>
      </c>
      <c r="H23" s="32">
        <v>14385.726551230455</v>
      </c>
      <c r="I23" s="32">
        <v>44338.420840898798</v>
      </c>
      <c r="J23" s="32">
        <v>44338.420840897772</v>
      </c>
      <c r="K23" s="32">
        <v>3.082112028405362</v>
      </c>
      <c r="L23" s="35" t="s">
        <v>21</v>
      </c>
      <c r="M23" s="31">
        <f t="shared" si="1"/>
        <v>0.19531216935172901</v>
      </c>
      <c r="N23" s="31">
        <f t="shared" si="2"/>
        <v>1.0683979589845637E-2</v>
      </c>
      <c r="O23" s="31">
        <v>0</v>
      </c>
      <c r="P23" s="31">
        <f t="shared" si="4"/>
        <v>1.0683979589845637E-2</v>
      </c>
      <c r="Q23" s="137">
        <f t="shared" si="5"/>
        <v>1.9484020769537113E-3</v>
      </c>
      <c r="R23" s="98">
        <f>Q23</f>
        <v>1.9484020769537113E-3</v>
      </c>
    </row>
    <row r="24" spans="1:20" x14ac:dyDescent="0.55000000000000004">
      <c r="A24" s="22"/>
      <c r="L24" s="72"/>
      <c r="M24" s="26"/>
      <c r="N24" s="26"/>
      <c r="O24" s="26"/>
      <c r="P24" s="27">
        <f>SUM(P3:P23)</f>
        <v>5.483457298788057</v>
      </c>
    </row>
  </sheetData>
  <mergeCells count="3">
    <mergeCell ref="N1:Q1"/>
    <mergeCell ref="G1:K1"/>
    <mergeCell ref="A1:E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73E0A-607F-4C04-92A7-5DF8BA6C3D60}">
  <dimension ref="A1:CN28"/>
  <sheetViews>
    <sheetView topLeftCell="AL1" zoomScale="90" zoomScaleNormal="90" workbookViewId="0">
      <selection activeCell="BT4" sqref="BT4"/>
    </sheetView>
  </sheetViews>
  <sheetFormatPr defaultRowHeight="14.4" x14ac:dyDescent="0.55000000000000004"/>
  <cols>
    <col min="1" max="1" width="7.41796875" style="2" customWidth="1"/>
    <col min="2" max="2" width="12.1015625" customWidth="1"/>
    <col min="3" max="3" width="12.3125" customWidth="1"/>
    <col min="4" max="5" width="11.1015625" customWidth="1"/>
    <col min="6" max="6" width="11" customWidth="1"/>
    <col min="8" max="8" width="13.1015625" customWidth="1"/>
    <col min="9" max="9" width="12.41796875" customWidth="1"/>
    <col min="12" max="12" width="11.3125" customWidth="1"/>
    <col min="13" max="13" width="11.20703125" customWidth="1"/>
    <col min="14" max="14" width="13.68359375" customWidth="1"/>
    <col min="15" max="15" width="12.5234375" customWidth="1"/>
    <col min="16" max="16" width="10.1015625" customWidth="1"/>
    <col min="17" max="17" width="14.1015625" customWidth="1"/>
    <col min="18" max="18" width="14.20703125" customWidth="1"/>
    <col min="19" max="19" width="11.89453125" customWidth="1"/>
    <col min="20" max="20" width="9.89453125" customWidth="1"/>
    <col min="21" max="21" width="11.1015625" customWidth="1"/>
    <col min="22" max="22" width="14.68359375" customWidth="1"/>
    <col min="24" max="24" width="12.41796875" customWidth="1"/>
    <col min="27" max="27" width="7.3125" customWidth="1"/>
    <col min="28" max="28" width="11.1015625" customWidth="1"/>
    <col min="29" max="29" width="12.41796875" customWidth="1"/>
    <col min="30" max="30" width="11.7890625" customWidth="1"/>
    <col min="31" max="31" width="11.5234375" bestFit="1" customWidth="1"/>
    <col min="32" max="32" width="14.3125" customWidth="1"/>
    <col min="33" max="33" width="12.20703125" customWidth="1"/>
    <col min="34" max="35" width="11.5234375" bestFit="1" customWidth="1"/>
    <col min="36" max="36" width="10.7890625" customWidth="1"/>
    <col min="37" max="38" width="11.7890625" customWidth="1"/>
    <col min="39" max="39" width="14.1015625" customWidth="1"/>
    <col min="40" max="40" width="10.5234375" customWidth="1"/>
    <col min="41" max="41" width="13.89453125" customWidth="1"/>
    <col min="42" max="42" width="10.68359375" customWidth="1"/>
    <col min="43" max="43" width="10.89453125" customWidth="1"/>
    <col min="44" max="44" width="13.41796875" customWidth="1"/>
    <col min="45" max="45" width="14.41796875" customWidth="1"/>
    <col min="46" max="46" width="15.68359375" customWidth="1"/>
    <col min="48" max="48" width="7.7890625" customWidth="1"/>
    <col min="49" max="49" width="13.89453125" customWidth="1"/>
    <col min="54" max="54" width="11.89453125" customWidth="1"/>
    <col min="55" max="55" width="13.1015625" bestFit="1" customWidth="1"/>
    <col min="56" max="56" width="10.41796875" bestFit="1" customWidth="1"/>
    <col min="57" max="57" width="13.1015625" bestFit="1" customWidth="1"/>
    <col min="58" max="58" width="13.1015625" customWidth="1"/>
    <col min="59" max="65" width="10.41796875" customWidth="1"/>
    <col min="66" max="66" width="9.5234375" customWidth="1"/>
    <col min="68" max="68" width="10.68359375" customWidth="1"/>
    <col min="69" max="69" width="10.41796875" customWidth="1"/>
    <col min="70" max="70" width="12" bestFit="1" customWidth="1"/>
    <col min="71" max="71" width="11" customWidth="1"/>
    <col min="72" max="72" width="10.62890625" customWidth="1"/>
    <col min="74" max="74" width="12" bestFit="1" customWidth="1"/>
    <col min="75" max="75" width="10.20703125" customWidth="1"/>
    <col min="76" max="76" width="12" customWidth="1"/>
    <col min="77" max="77" width="12.1015625" customWidth="1"/>
    <col min="80" max="80" width="8" customWidth="1"/>
    <col min="85" max="85" width="11.5234375" customWidth="1"/>
    <col min="87" max="87" width="10.41796875" customWidth="1"/>
    <col min="88" max="88" width="11.41796875" customWidth="1"/>
    <col min="89" max="89" width="12.68359375" customWidth="1"/>
  </cols>
  <sheetData>
    <row r="1" spans="1:92" ht="25.8" x14ac:dyDescent="0.95">
      <c r="A1" s="68" t="s">
        <v>75</v>
      </c>
      <c r="BI1" s="162" t="s">
        <v>81</v>
      </c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</row>
    <row r="2" spans="1:92" s="49" customFormat="1" x14ac:dyDescent="0.55000000000000004">
      <c r="A2" s="51"/>
      <c r="D2" s="165" t="s">
        <v>71</v>
      </c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52"/>
      <c r="AB2" s="164" t="s">
        <v>72</v>
      </c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V2" s="167" t="s">
        <v>82</v>
      </c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50"/>
      <c r="BI2" s="168" t="s">
        <v>78</v>
      </c>
      <c r="BJ2" s="168"/>
      <c r="BK2" s="168"/>
      <c r="BL2" s="168"/>
      <c r="BM2" s="168"/>
      <c r="BO2" s="168" t="s">
        <v>79</v>
      </c>
      <c r="BP2" s="168"/>
      <c r="BQ2" s="168"/>
      <c r="BR2" s="168"/>
      <c r="BS2" s="168"/>
      <c r="BT2" s="76"/>
      <c r="BU2" s="168" t="s">
        <v>80</v>
      </c>
      <c r="BV2" s="168"/>
      <c r="BW2" s="168"/>
      <c r="BX2" s="168"/>
      <c r="BY2" s="168"/>
      <c r="CB2" s="163" t="s">
        <v>91</v>
      </c>
      <c r="CC2" s="163"/>
      <c r="CD2" s="163"/>
      <c r="CE2" s="163"/>
      <c r="CF2" s="163"/>
      <c r="CG2" s="163"/>
      <c r="CH2" s="163"/>
      <c r="CI2" s="163"/>
      <c r="CJ2" s="163"/>
      <c r="CK2" s="163"/>
      <c r="CL2" s="163"/>
    </row>
    <row r="3" spans="1:92" s="50" customFormat="1" ht="129.6" x14ac:dyDescent="0.55000000000000004">
      <c r="A3" s="47" t="s">
        <v>66</v>
      </c>
      <c r="B3" s="47" t="s">
        <v>63</v>
      </c>
      <c r="C3" s="47" t="s">
        <v>62</v>
      </c>
      <c r="D3" s="47" t="s">
        <v>40</v>
      </c>
      <c r="E3" s="47" t="s">
        <v>41</v>
      </c>
      <c r="F3" s="47" t="s">
        <v>73</v>
      </c>
      <c r="G3" s="47" t="s">
        <v>24</v>
      </c>
      <c r="H3" s="47" t="s">
        <v>25</v>
      </c>
      <c r="I3" s="47" t="s">
        <v>26</v>
      </c>
      <c r="J3" s="47" t="s">
        <v>27</v>
      </c>
      <c r="K3" s="47" t="s">
        <v>28</v>
      </c>
      <c r="L3" s="47" t="s">
        <v>29</v>
      </c>
      <c r="M3" s="47" t="s">
        <v>30</v>
      </c>
      <c r="N3" s="47" t="s">
        <v>31</v>
      </c>
      <c r="O3" s="47" t="s">
        <v>32</v>
      </c>
      <c r="P3" s="47" t="s">
        <v>33</v>
      </c>
      <c r="Q3" s="47" t="s">
        <v>34</v>
      </c>
      <c r="R3" s="47" t="s">
        <v>35</v>
      </c>
      <c r="S3" s="47" t="s">
        <v>36</v>
      </c>
      <c r="T3" s="47" t="s">
        <v>37</v>
      </c>
      <c r="U3" s="47" t="s">
        <v>38</v>
      </c>
      <c r="V3" s="47" t="s">
        <v>39</v>
      </c>
      <c r="W3" s="63" t="s">
        <v>64</v>
      </c>
      <c r="X3" s="47" t="s">
        <v>65</v>
      </c>
      <c r="Y3" s="47" t="s">
        <v>97</v>
      </c>
      <c r="AA3" s="47" t="s">
        <v>66</v>
      </c>
      <c r="AB3" s="47" t="s">
        <v>40</v>
      </c>
      <c r="AC3" s="47" t="s">
        <v>41</v>
      </c>
      <c r="AD3" s="47" t="s">
        <v>73</v>
      </c>
      <c r="AE3" s="47" t="s">
        <v>24</v>
      </c>
      <c r="AF3" s="47" t="s">
        <v>25</v>
      </c>
      <c r="AG3" s="47" t="s">
        <v>26</v>
      </c>
      <c r="AH3" s="47" t="s">
        <v>27</v>
      </c>
      <c r="AI3" s="47" t="s">
        <v>28</v>
      </c>
      <c r="AJ3" s="47" t="s">
        <v>29</v>
      </c>
      <c r="AK3" s="47" t="s">
        <v>30</v>
      </c>
      <c r="AL3" s="47" t="s">
        <v>31</v>
      </c>
      <c r="AM3" s="47" t="s">
        <v>32</v>
      </c>
      <c r="AN3" s="47" t="s">
        <v>33</v>
      </c>
      <c r="AO3" s="47" t="s">
        <v>34</v>
      </c>
      <c r="AP3" s="47" t="s">
        <v>35</v>
      </c>
      <c r="AQ3" s="47" t="s">
        <v>36</v>
      </c>
      <c r="AR3" s="47" t="s">
        <v>37</v>
      </c>
      <c r="AS3" s="47" t="s">
        <v>38</v>
      </c>
      <c r="AT3" s="47" t="s">
        <v>39</v>
      </c>
      <c r="AV3" s="47" t="s">
        <v>66</v>
      </c>
      <c r="AW3" s="47" t="s">
        <v>65</v>
      </c>
      <c r="AX3" s="48" t="s">
        <v>47</v>
      </c>
      <c r="AY3" s="46" t="s">
        <v>48</v>
      </c>
      <c r="AZ3" s="46" t="s">
        <v>76</v>
      </c>
      <c r="BA3" s="46" t="s">
        <v>49</v>
      </c>
      <c r="BB3" s="46" t="s">
        <v>50</v>
      </c>
      <c r="BC3" s="40" t="s">
        <v>77</v>
      </c>
      <c r="BD3" s="46" t="s">
        <v>52</v>
      </c>
      <c r="BE3" s="46" t="s">
        <v>53</v>
      </c>
      <c r="BF3" s="46" t="s">
        <v>54</v>
      </c>
      <c r="BG3" s="46" t="s">
        <v>114</v>
      </c>
      <c r="BH3" s="24"/>
      <c r="BI3" s="75" t="s">
        <v>47</v>
      </c>
      <c r="BJ3" s="75" t="s">
        <v>49</v>
      </c>
      <c r="BK3" s="75" t="s">
        <v>52</v>
      </c>
      <c r="BL3" s="75" t="s">
        <v>51</v>
      </c>
      <c r="BM3" s="75" t="s">
        <v>98</v>
      </c>
      <c r="BN3" s="75" t="s">
        <v>121</v>
      </c>
      <c r="BO3" s="75" t="s">
        <v>47</v>
      </c>
      <c r="BP3" s="75" t="s">
        <v>49</v>
      </c>
      <c r="BQ3" s="75" t="s">
        <v>52</v>
      </c>
      <c r="BR3" s="75" t="s">
        <v>51</v>
      </c>
      <c r="BS3" s="75" t="s">
        <v>98</v>
      </c>
      <c r="BT3" s="75" t="s">
        <v>120</v>
      </c>
      <c r="BU3" s="75" t="s">
        <v>47</v>
      </c>
      <c r="BV3" s="75" t="s">
        <v>49</v>
      </c>
      <c r="BW3" s="75" t="s">
        <v>52</v>
      </c>
      <c r="BX3" s="75" t="s">
        <v>51</v>
      </c>
      <c r="BY3" s="75" t="s">
        <v>98</v>
      </c>
      <c r="BZ3" s="75" t="s">
        <v>122</v>
      </c>
      <c r="CB3" s="82" t="s">
        <v>70</v>
      </c>
      <c r="CC3" s="82" t="s">
        <v>47</v>
      </c>
      <c r="CD3" s="82" t="s">
        <v>90</v>
      </c>
      <c r="CE3" s="82" t="s">
        <v>84</v>
      </c>
      <c r="CF3" s="82" t="s">
        <v>85</v>
      </c>
      <c r="CG3" s="82" t="s">
        <v>83</v>
      </c>
      <c r="CH3" s="82" t="s">
        <v>86</v>
      </c>
      <c r="CI3" s="82" t="s">
        <v>87</v>
      </c>
      <c r="CJ3" s="82" t="s">
        <v>88</v>
      </c>
      <c r="CK3" s="82" t="s">
        <v>89</v>
      </c>
      <c r="CL3" s="82" t="s">
        <v>115</v>
      </c>
      <c r="CM3" s="104" t="s">
        <v>118</v>
      </c>
      <c r="CN3" s="104" t="s">
        <v>119</v>
      </c>
    </row>
    <row r="4" spans="1:92" x14ac:dyDescent="0.55000000000000004">
      <c r="A4" s="23">
        <v>0</v>
      </c>
      <c r="B4" s="21">
        <v>166335</v>
      </c>
      <c r="C4" s="21">
        <v>174857</v>
      </c>
      <c r="D4" s="64">
        <v>6</v>
      </c>
      <c r="E4" s="65">
        <v>3</v>
      </c>
      <c r="F4" s="65">
        <v>0</v>
      </c>
      <c r="G4" s="65">
        <v>3</v>
      </c>
      <c r="H4" s="65">
        <v>1</v>
      </c>
      <c r="I4" s="65">
        <v>5</v>
      </c>
      <c r="J4" s="65">
        <v>0</v>
      </c>
      <c r="K4" s="65">
        <v>7</v>
      </c>
      <c r="L4" s="65">
        <v>11</v>
      </c>
      <c r="M4" s="65">
        <v>2</v>
      </c>
      <c r="N4" s="65">
        <v>5</v>
      </c>
      <c r="O4" s="65">
        <v>0</v>
      </c>
      <c r="P4" s="65">
        <v>1</v>
      </c>
      <c r="Q4" s="65">
        <v>0</v>
      </c>
      <c r="R4" s="65">
        <v>0</v>
      </c>
      <c r="S4" s="65">
        <v>218</v>
      </c>
      <c r="T4" s="65">
        <v>83</v>
      </c>
      <c r="U4" s="65">
        <v>37</v>
      </c>
      <c r="V4" s="65">
        <v>12</v>
      </c>
      <c r="W4" s="66">
        <f t="shared" ref="W4:W25" si="0">SUM(D4:V4)</f>
        <v>394</v>
      </c>
      <c r="X4" s="67">
        <f>AVERAGE(B4:C4)</f>
        <v>170596</v>
      </c>
      <c r="Y4" s="21">
        <f>W4/X4*1000</f>
        <v>2.3095500480667774</v>
      </c>
      <c r="AA4" s="23">
        <v>0</v>
      </c>
      <c r="AB4" s="31">
        <f>D4*1000/$X4</f>
        <v>3.5170812914722502E-2</v>
      </c>
      <c r="AC4" s="31">
        <f t="shared" ref="AC4:AT4" si="1">E4*1000/$X4</f>
        <v>1.7585406457361251E-2</v>
      </c>
      <c r="AD4" s="34">
        <f t="shared" si="1"/>
        <v>0</v>
      </c>
      <c r="AE4" s="31">
        <f t="shared" si="1"/>
        <v>1.7585406457361251E-2</v>
      </c>
      <c r="AF4" s="31">
        <f t="shared" si="1"/>
        <v>5.8618021524537503E-3</v>
      </c>
      <c r="AG4" s="31">
        <f t="shared" si="1"/>
        <v>2.9309010762268752E-2</v>
      </c>
      <c r="AH4" s="34">
        <f t="shared" si="1"/>
        <v>0</v>
      </c>
      <c r="AI4" s="31">
        <f t="shared" si="1"/>
        <v>4.1032615067176252E-2</v>
      </c>
      <c r="AJ4" s="31">
        <f t="shared" si="1"/>
        <v>6.447982367699126E-2</v>
      </c>
      <c r="AK4" s="31">
        <f t="shared" si="1"/>
        <v>1.1723604304907501E-2</v>
      </c>
      <c r="AL4" s="31">
        <f t="shared" si="1"/>
        <v>2.9309010762268752E-2</v>
      </c>
      <c r="AM4" s="34">
        <f t="shared" si="1"/>
        <v>0</v>
      </c>
      <c r="AN4" s="31">
        <f t="shared" si="1"/>
        <v>5.8618021524537503E-3</v>
      </c>
      <c r="AO4" s="34">
        <f t="shared" si="1"/>
        <v>0</v>
      </c>
      <c r="AP4" s="34">
        <f t="shared" si="1"/>
        <v>0</v>
      </c>
      <c r="AQ4" s="31">
        <f t="shared" si="1"/>
        <v>1.2778728692349175</v>
      </c>
      <c r="AR4" s="31">
        <f t="shared" si="1"/>
        <v>0.48652957865366125</v>
      </c>
      <c r="AS4" s="31">
        <f t="shared" si="1"/>
        <v>0.21688667964078875</v>
      </c>
      <c r="AT4" s="31">
        <f t="shared" si="1"/>
        <v>7.0341625829445004E-2</v>
      </c>
      <c r="AV4" s="23">
        <v>0</v>
      </c>
      <c r="AW4" s="67">
        <v>170596</v>
      </c>
      <c r="AX4" s="21">
        <v>394</v>
      </c>
      <c r="AY4" s="31">
        <v>2.3095500480667776E-3</v>
      </c>
      <c r="AZ4" s="31">
        <v>5.9466740134586978E-2</v>
      </c>
      <c r="BA4" s="31">
        <v>2.3045440974772766E-3</v>
      </c>
      <c r="BB4" s="31">
        <v>0.99769545590252273</v>
      </c>
      <c r="BC4" s="34">
        <v>100000</v>
      </c>
      <c r="BD4" s="32">
        <v>230.45440974772765</v>
      </c>
      <c r="BE4" s="32">
        <v>99783.2499627496</v>
      </c>
      <c r="BF4" s="32">
        <v>8494786.3197124489</v>
      </c>
      <c r="BG4" s="32">
        <v>84.947863197124491</v>
      </c>
      <c r="BH4" s="69"/>
      <c r="BI4" s="34">
        <v>11</v>
      </c>
      <c r="BJ4" s="31">
        <f>BA4*BI4/AX4</f>
        <v>6.4340063635152402E-5</v>
      </c>
      <c r="BK4" s="32">
        <f>BJ4*BC4</f>
        <v>6.4340063635152402</v>
      </c>
      <c r="BL4" s="32">
        <f>SUM(BK4:BK24)</f>
        <v>26715.906948838336</v>
      </c>
      <c r="BM4" s="32">
        <f>BK4</f>
        <v>6.4340063635152402</v>
      </c>
      <c r="BN4" s="112">
        <f>BL4/100000</f>
        <v>0.26715906948838336</v>
      </c>
      <c r="BO4" s="91">
        <v>3</v>
      </c>
      <c r="BP4" s="77">
        <f t="shared" ref="BP4:BP24" si="2">BA4*BO4/AX4</f>
        <v>1.7547290082314289E-5</v>
      </c>
      <c r="BQ4" s="78">
        <f t="shared" ref="BQ4:BQ24" si="3">BP4*BC4</f>
        <v>1.7547290082314289</v>
      </c>
      <c r="BR4" s="102">
        <f>SUM(BQ4:BQ24)</f>
        <v>17245.416947130074</v>
      </c>
      <c r="BS4" s="78">
        <f>BQ4</f>
        <v>1.7547290082314289</v>
      </c>
      <c r="BT4" s="112">
        <f>BR4/BC4</f>
        <v>0.17245416947130074</v>
      </c>
      <c r="BU4" s="21">
        <v>3</v>
      </c>
      <c r="BV4" s="31">
        <f>BA4*BU4/AX4</f>
        <v>1.7547290082314289E-5</v>
      </c>
      <c r="BW4" s="32">
        <f t="shared" ref="BW4:BW24" si="4">BV4*BC4</f>
        <v>1.7547290082314289</v>
      </c>
      <c r="BX4" s="32">
        <f>SUM(BW4:BW24)</f>
        <v>11532.697667789111</v>
      </c>
      <c r="BY4" s="32">
        <f>BW4</f>
        <v>1.7547290082314289</v>
      </c>
      <c r="BZ4" s="112">
        <f>BX4/100000</f>
        <v>0.1153269766778911</v>
      </c>
      <c r="CB4" s="23">
        <v>0</v>
      </c>
      <c r="CC4" s="21">
        <v>394</v>
      </c>
      <c r="CD4" s="21">
        <v>3</v>
      </c>
      <c r="CE4" s="31">
        <f>(CC4-CD4)/CC4</f>
        <v>0.99238578680203049</v>
      </c>
      <c r="CF4" s="31">
        <f t="shared" ref="CF4:CF24" si="5">BB4^CE4</f>
        <v>0.99771298311175771</v>
      </c>
      <c r="CG4" s="34">
        <v>100000</v>
      </c>
      <c r="CH4" s="31">
        <f>(Y4-AC4)/1000</f>
        <v>2.2919646416094163E-3</v>
      </c>
      <c r="CI4" s="32">
        <f>CG4*(1-CF4)</f>
        <v>228.70168882422882</v>
      </c>
      <c r="CJ4" s="32">
        <f>CI4/CH4</f>
        <v>99784.126103985021</v>
      </c>
      <c r="CK4" s="32">
        <f>SUM(CJ4:CJ24)</f>
        <v>8591995.3869242948</v>
      </c>
      <c r="CL4" s="32">
        <f>CK4/CG4</f>
        <v>85.919953869242946</v>
      </c>
      <c r="CM4" s="105">
        <f>CL4-BG4</f>
        <v>0.97209067211845479</v>
      </c>
      <c r="CN4" s="106">
        <f>CM4/BG4</f>
        <v>1.144337992190203E-2</v>
      </c>
    </row>
    <row r="5" spans="1:92" x14ac:dyDescent="0.55000000000000004">
      <c r="A5" s="23" t="s">
        <v>2</v>
      </c>
      <c r="B5" s="21">
        <v>769961.181125</v>
      </c>
      <c r="C5" s="21">
        <v>802146.42972599994</v>
      </c>
      <c r="D5" s="64">
        <v>6</v>
      </c>
      <c r="E5" s="65">
        <v>0</v>
      </c>
      <c r="F5" s="65">
        <v>0</v>
      </c>
      <c r="G5" s="65">
        <v>18</v>
      </c>
      <c r="H5" s="65">
        <v>2</v>
      </c>
      <c r="I5" s="65">
        <v>8</v>
      </c>
      <c r="J5" s="65">
        <v>0</v>
      </c>
      <c r="K5" s="65">
        <v>10</v>
      </c>
      <c r="L5" s="65">
        <v>1</v>
      </c>
      <c r="M5" s="65">
        <v>5</v>
      </c>
      <c r="N5" s="65">
        <v>2</v>
      </c>
      <c r="O5" s="65">
        <v>0</v>
      </c>
      <c r="P5" s="65">
        <v>0</v>
      </c>
      <c r="Q5" s="65">
        <v>0</v>
      </c>
      <c r="R5" s="65">
        <v>0</v>
      </c>
      <c r="S5" s="65">
        <v>1</v>
      </c>
      <c r="T5" s="65">
        <v>5</v>
      </c>
      <c r="U5" s="65">
        <v>3</v>
      </c>
      <c r="V5" s="65">
        <v>10</v>
      </c>
      <c r="W5" s="66">
        <f t="shared" si="0"/>
        <v>71</v>
      </c>
      <c r="X5" s="67">
        <f t="shared" ref="X5:X25" si="6">AVERAGE(B5:C5)</f>
        <v>786053.80542550003</v>
      </c>
      <c r="Y5" s="21">
        <f t="shared" ref="Y5:Y24" si="7">W5/X5*1000</f>
        <v>9.0324605656691509E-2</v>
      </c>
      <c r="AA5" s="23" t="s">
        <v>2</v>
      </c>
      <c r="AB5" s="31">
        <f t="shared" ref="AB5:AB25" si="8">D5*1000/$X5</f>
        <v>7.6330652667626619E-3</v>
      </c>
      <c r="AC5" s="34">
        <f t="shared" ref="AC5:AC25" si="9">E5*1000/$X5</f>
        <v>0</v>
      </c>
      <c r="AD5" s="34">
        <f t="shared" ref="AD5:AD25" si="10">F5*1000/$X5</f>
        <v>0</v>
      </c>
      <c r="AE5" s="31">
        <f t="shared" ref="AE5:AE25" si="11">G5*1000/$X5</f>
        <v>2.2899195800287986E-2</v>
      </c>
      <c r="AF5" s="31">
        <f t="shared" ref="AF5:AF25" si="12">H5*1000/$X5</f>
        <v>2.5443550889208875E-3</v>
      </c>
      <c r="AG5" s="31">
        <f t="shared" ref="AG5:AG25" si="13">I5*1000/$X5</f>
        <v>1.017742035568355E-2</v>
      </c>
      <c r="AH5" s="34">
        <f t="shared" ref="AH5:AH25" si="14">J5*1000/$X5</f>
        <v>0</v>
      </c>
      <c r="AI5" s="31">
        <f t="shared" ref="AI5:AI25" si="15">K5*1000/$X5</f>
        <v>1.2721775444604436E-2</v>
      </c>
      <c r="AJ5" s="31">
        <f t="shared" ref="AJ5:AJ25" si="16">L5*1000/$X5</f>
        <v>1.2721775444604437E-3</v>
      </c>
      <c r="AK5" s="31">
        <f t="shared" ref="AK5:AK25" si="17">M5*1000/$X5</f>
        <v>6.360887722302218E-3</v>
      </c>
      <c r="AL5" s="31">
        <f t="shared" ref="AL5:AL25" si="18">N5*1000/$X5</f>
        <v>2.5443550889208875E-3</v>
      </c>
      <c r="AM5" s="34">
        <f t="shared" ref="AM5:AM25" si="19">O5*1000/$X5</f>
        <v>0</v>
      </c>
      <c r="AN5" s="34">
        <f t="shared" ref="AN5:AN25" si="20">P5*1000/$X5</f>
        <v>0</v>
      </c>
      <c r="AO5" s="34">
        <f t="shared" ref="AO5:AO25" si="21">Q5*1000/$X5</f>
        <v>0</v>
      </c>
      <c r="AP5" s="34">
        <f t="shared" ref="AP5:AP25" si="22">R5*1000/$X5</f>
        <v>0</v>
      </c>
      <c r="AQ5" s="31">
        <f t="shared" ref="AQ5:AQ25" si="23">S5*1000/$X5</f>
        <v>1.2721775444604437E-3</v>
      </c>
      <c r="AR5" s="31">
        <f t="shared" ref="AR5:AR25" si="24">T5*1000/$X5</f>
        <v>6.360887722302218E-3</v>
      </c>
      <c r="AS5" s="31">
        <f t="shared" ref="AS5:AS25" si="25">U5*1000/$X5</f>
        <v>3.816532633381331E-3</v>
      </c>
      <c r="AT5" s="31">
        <f t="shared" ref="AT5:AT25" si="26">V5*1000/$X5</f>
        <v>1.2721775444604436E-2</v>
      </c>
      <c r="AV5" s="23" t="s">
        <v>2</v>
      </c>
      <c r="AW5" s="67">
        <v>786053.80542550003</v>
      </c>
      <c r="AX5" s="21">
        <v>71</v>
      </c>
      <c r="AY5" s="31">
        <v>9.0324605656691504E-5</v>
      </c>
      <c r="AZ5" s="31">
        <v>1.5184941030270347</v>
      </c>
      <c r="BA5" s="31">
        <v>3.6121745896927615E-4</v>
      </c>
      <c r="BB5" s="31">
        <v>0.99963878254103078</v>
      </c>
      <c r="BC5" s="32">
        <v>99769.545590252266</v>
      </c>
      <c r="BD5" s="32">
        <v>36.038501740630274</v>
      </c>
      <c r="BE5" s="32">
        <v>398988.75260642165</v>
      </c>
      <c r="BF5" s="32">
        <v>8395003.0697496999</v>
      </c>
      <c r="BG5" s="32">
        <v>84.143944127273969</v>
      </c>
      <c r="BH5" s="69"/>
      <c r="BI5" s="34">
        <v>1</v>
      </c>
      <c r="BJ5" s="31">
        <f t="shared" ref="BJ5:BJ24" si="27">BA5*BI5/AX5</f>
        <v>5.0875698446376927E-6</v>
      </c>
      <c r="BK5" s="32">
        <f t="shared" ref="BK5:BK24" si="28">BJ5*BC5</f>
        <v>0.50758453155817296</v>
      </c>
      <c r="BL5" s="32">
        <f>BL4-BK4</f>
        <v>26709.472942474822</v>
      </c>
      <c r="BM5" s="32">
        <f t="shared" ref="BM5:BM24" si="29">BM4+BK5</f>
        <v>6.9415908950734133</v>
      </c>
      <c r="BN5" s="74"/>
      <c r="BO5" s="91">
        <v>18</v>
      </c>
      <c r="BP5" s="77">
        <f t="shared" si="2"/>
        <v>9.1576257203478464E-5</v>
      </c>
      <c r="BQ5" s="78">
        <f t="shared" si="3"/>
        <v>9.1365215680471117</v>
      </c>
      <c r="BR5" s="102">
        <f>BR4-BQ4</f>
        <v>17243.662218121841</v>
      </c>
      <c r="BS5" s="78">
        <f>BS4+BQ5</f>
        <v>10.891250576278541</v>
      </c>
      <c r="BU5" s="21">
        <v>0</v>
      </c>
      <c r="BV5" s="34">
        <f t="shared" ref="BV5:BV24" si="30">BA5*BU5/AX5</f>
        <v>0</v>
      </c>
      <c r="BW5" s="34">
        <f t="shared" si="4"/>
        <v>0</v>
      </c>
      <c r="BX5" s="32">
        <f>BX4-BW4</f>
        <v>11530.94293878088</v>
      </c>
      <c r="BY5" s="32">
        <f>BY4+BW5</f>
        <v>1.7547290082314289</v>
      </c>
      <c r="CB5" s="23" t="s">
        <v>2</v>
      </c>
      <c r="CC5" s="21">
        <v>71</v>
      </c>
      <c r="CD5" s="21">
        <v>0</v>
      </c>
      <c r="CE5" s="31">
        <f t="shared" ref="CE5:CE24" si="31">(CC5-CD5)/CC5</f>
        <v>1</v>
      </c>
      <c r="CF5" s="31">
        <f t="shared" si="5"/>
        <v>0.99963878254103078</v>
      </c>
      <c r="CG5" s="32">
        <f>CG4*CF4</f>
        <v>99771.298311175764</v>
      </c>
      <c r="CH5" s="31">
        <f t="shared" ref="CH5:CH24" si="32">(Y5-AC5)/1000</f>
        <v>9.0324605656691504E-5</v>
      </c>
      <c r="CI5" s="32">
        <f t="shared" ref="CI5:CI24" si="33">CG5*(1-CF5)</f>
        <v>36.039134854023018</v>
      </c>
      <c r="CJ5" s="32">
        <f t="shared" ref="CJ5:CJ23" si="34">CI5/CH5</f>
        <v>398995.76191897981</v>
      </c>
      <c r="CK5" s="32">
        <f>CK4-CJ4</f>
        <v>8492211.2608203106</v>
      </c>
      <c r="CL5" s="32">
        <f t="shared" ref="CL5:CL24" si="35">CK5/CG5</f>
        <v>85.116776112645468</v>
      </c>
    </row>
    <row r="6" spans="1:92" x14ac:dyDescent="0.55000000000000004">
      <c r="A6" s="23" t="s">
        <v>3</v>
      </c>
      <c r="B6" s="21">
        <v>1111875.885799</v>
      </c>
      <c r="C6" s="21">
        <v>1128793.5146649999</v>
      </c>
      <c r="D6" s="64">
        <v>1</v>
      </c>
      <c r="E6" s="65">
        <v>0</v>
      </c>
      <c r="F6" s="65">
        <v>0</v>
      </c>
      <c r="G6" s="65">
        <v>31</v>
      </c>
      <c r="H6" s="65">
        <v>2</v>
      </c>
      <c r="I6" s="65">
        <v>5</v>
      </c>
      <c r="J6" s="65">
        <v>0</v>
      </c>
      <c r="K6" s="65">
        <v>12</v>
      </c>
      <c r="L6" s="65">
        <v>3</v>
      </c>
      <c r="M6" s="65">
        <v>2</v>
      </c>
      <c r="N6" s="65">
        <v>1</v>
      </c>
      <c r="O6" s="65">
        <v>0</v>
      </c>
      <c r="P6" s="65">
        <v>0</v>
      </c>
      <c r="Q6" s="65">
        <v>1</v>
      </c>
      <c r="R6" s="65">
        <v>0</v>
      </c>
      <c r="S6" s="65">
        <v>1</v>
      </c>
      <c r="T6" s="65">
        <v>2</v>
      </c>
      <c r="U6" s="65">
        <v>4</v>
      </c>
      <c r="V6" s="65">
        <v>7</v>
      </c>
      <c r="W6" s="66">
        <f t="shared" si="0"/>
        <v>72</v>
      </c>
      <c r="X6" s="67">
        <f t="shared" si="6"/>
        <v>1120334.7002320001</v>
      </c>
      <c r="Y6" s="21">
        <f t="shared" si="7"/>
        <v>6.4266508914782486E-2</v>
      </c>
      <c r="AA6" s="23" t="s">
        <v>3</v>
      </c>
      <c r="AB6" s="31">
        <f t="shared" si="8"/>
        <v>8.9259040159420122E-4</v>
      </c>
      <c r="AC6" s="34">
        <f t="shared" si="9"/>
        <v>0</v>
      </c>
      <c r="AD6" s="34">
        <f t="shared" si="10"/>
        <v>0</v>
      </c>
      <c r="AE6" s="31">
        <f t="shared" si="11"/>
        <v>2.7670302449420238E-2</v>
      </c>
      <c r="AF6" s="31">
        <f t="shared" si="12"/>
        <v>1.7851808031884024E-3</v>
      </c>
      <c r="AG6" s="31">
        <f t="shared" si="13"/>
        <v>4.4629520079710059E-3</v>
      </c>
      <c r="AH6" s="34">
        <f t="shared" si="14"/>
        <v>0</v>
      </c>
      <c r="AI6" s="31">
        <f t="shared" si="15"/>
        <v>1.0711084819130415E-2</v>
      </c>
      <c r="AJ6" s="31">
        <f t="shared" si="16"/>
        <v>2.6777712047826039E-3</v>
      </c>
      <c r="AK6" s="31">
        <f t="shared" si="17"/>
        <v>1.7851808031884024E-3</v>
      </c>
      <c r="AL6" s="31">
        <f t="shared" si="18"/>
        <v>8.9259040159420122E-4</v>
      </c>
      <c r="AM6" s="34">
        <f t="shared" si="19"/>
        <v>0</v>
      </c>
      <c r="AN6" s="34">
        <f t="shared" si="20"/>
        <v>0</v>
      </c>
      <c r="AO6" s="31">
        <f t="shared" si="21"/>
        <v>8.9259040159420122E-4</v>
      </c>
      <c r="AP6" s="34">
        <f t="shared" si="22"/>
        <v>0</v>
      </c>
      <c r="AQ6" s="31">
        <f t="shared" si="23"/>
        <v>8.9259040159420122E-4</v>
      </c>
      <c r="AR6" s="31">
        <f t="shared" si="24"/>
        <v>1.7851808031884024E-3</v>
      </c>
      <c r="AS6" s="31">
        <f t="shared" si="25"/>
        <v>3.5703616063768049E-3</v>
      </c>
      <c r="AT6" s="31">
        <f t="shared" si="26"/>
        <v>6.2481328111594087E-3</v>
      </c>
      <c r="AV6" s="23" t="s">
        <v>3</v>
      </c>
      <c r="AW6" s="67">
        <v>1120334.7002320001</v>
      </c>
      <c r="AX6" s="21">
        <v>72</v>
      </c>
      <c r="AY6" s="31">
        <v>6.4266508914782492E-5</v>
      </c>
      <c r="AZ6" s="33">
        <v>2.5</v>
      </c>
      <c r="BA6" s="31">
        <v>3.2128092556524496E-4</v>
      </c>
      <c r="BB6" s="31">
        <v>0.99967871907443473</v>
      </c>
      <c r="BC6" s="32">
        <v>99733.507088511644</v>
      </c>
      <c r="BD6" s="32">
        <v>32.042473467264941</v>
      </c>
      <c r="BE6" s="32">
        <v>498587.42925889004</v>
      </c>
      <c r="BF6" s="32">
        <v>7996014.3171432782</v>
      </c>
      <c r="BG6" s="32">
        <v>80.173800667081352</v>
      </c>
      <c r="BH6" s="69"/>
      <c r="BI6" s="34">
        <v>3</v>
      </c>
      <c r="BJ6" s="31">
        <f t="shared" si="27"/>
        <v>1.3386705231885207E-5</v>
      </c>
      <c r="BK6" s="32">
        <f t="shared" si="28"/>
        <v>1.3351030611360393</v>
      </c>
      <c r="BL6" s="32">
        <f t="shared" ref="BL6:BL24" si="36">BL5-BK5</f>
        <v>26708.965357943263</v>
      </c>
      <c r="BM6" s="32">
        <f t="shared" si="29"/>
        <v>8.2766939562094528</v>
      </c>
      <c r="BN6" s="74"/>
      <c r="BO6" s="91">
        <v>31</v>
      </c>
      <c r="BP6" s="77">
        <f t="shared" si="2"/>
        <v>1.3832928739614713E-4</v>
      </c>
      <c r="BQ6" s="78">
        <f t="shared" si="3"/>
        <v>13.796064965072404</v>
      </c>
      <c r="BR6" s="102">
        <f t="shared" ref="BR6:BR24" si="37">BR5-BQ5</f>
        <v>17234.525696553792</v>
      </c>
      <c r="BS6" s="78">
        <f t="shared" ref="BS6:BS23" si="38">BS5+BQ6</f>
        <v>24.687315541350944</v>
      </c>
      <c r="BU6" s="21">
        <v>0</v>
      </c>
      <c r="BV6" s="34">
        <f t="shared" si="30"/>
        <v>0</v>
      </c>
      <c r="BW6" s="34">
        <f t="shared" si="4"/>
        <v>0</v>
      </c>
      <c r="BX6" s="32">
        <f t="shared" ref="BX6:BX24" si="39">BX5-BW5</f>
        <v>11530.94293878088</v>
      </c>
      <c r="BY6" s="32">
        <f t="shared" ref="BY6:BY24" si="40">BY5+BW6</f>
        <v>1.7547290082314289</v>
      </c>
      <c r="CB6" s="23" t="s">
        <v>3</v>
      </c>
      <c r="CC6" s="21">
        <v>72</v>
      </c>
      <c r="CD6" s="21">
        <v>0</v>
      </c>
      <c r="CE6" s="31">
        <f t="shared" si="31"/>
        <v>1</v>
      </c>
      <c r="CF6" s="31">
        <f t="shared" si="5"/>
        <v>0.99967871907443473</v>
      </c>
      <c r="CG6" s="32">
        <f t="shared" ref="CG6:CG23" si="41">CG5*CF5</f>
        <v>99735.259176321735</v>
      </c>
      <c r="CH6" s="31">
        <f t="shared" si="32"/>
        <v>6.4266508914782492E-5</v>
      </c>
      <c r="CI6" s="32">
        <f t="shared" si="33"/>
        <v>32.043036379660776</v>
      </c>
      <c r="CJ6" s="32">
        <f t="shared" si="34"/>
        <v>498596.18829069898</v>
      </c>
      <c r="CK6" s="32">
        <f t="shared" ref="CK6:CK24" si="42">CK5-CJ5</f>
        <v>8093215.4989013309</v>
      </c>
      <c r="CL6" s="32">
        <f t="shared" si="35"/>
        <v>81.146984183330332</v>
      </c>
    </row>
    <row r="7" spans="1:92" x14ac:dyDescent="0.55000000000000004">
      <c r="A7" s="23" t="s">
        <v>5</v>
      </c>
      <c r="B7" s="21">
        <v>1227804.71254</v>
      </c>
      <c r="C7" s="21">
        <v>1226655.0882660002</v>
      </c>
      <c r="D7" s="64">
        <v>1</v>
      </c>
      <c r="E7" s="65">
        <v>2</v>
      </c>
      <c r="F7" s="65">
        <v>0</v>
      </c>
      <c r="G7" s="65">
        <v>25</v>
      </c>
      <c r="H7" s="65">
        <v>0</v>
      </c>
      <c r="I7" s="65">
        <v>3</v>
      </c>
      <c r="J7" s="65">
        <v>0</v>
      </c>
      <c r="K7" s="65">
        <v>10</v>
      </c>
      <c r="L7" s="65">
        <v>3</v>
      </c>
      <c r="M7" s="65">
        <v>4</v>
      </c>
      <c r="N7" s="65">
        <v>2</v>
      </c>
      <c r="O7" s="65">
        <v>0</v>
      </c>
      <c r="P7" s="65">
        <v>1</v>
      </c>
      <c r="Q7" s="65">
        <v>0</v>
      </c>
      <c r="R7" s="65">
        <v>0</v>
      </c>
      <c r="S7" s="65">
        <v>0</v>
      </c>
      <c r="T7" s="65">
        <v>7</v>
      </c>
      <c r="U7" s="65">
        <v>3</v>
      </c>
      <c r="V7" s="65">
        <v>19</v>
      </c>
      <c r="W7" s="66">
        <f t="shared" si="0"/>
        <v>80</v>
      </c>
      <c r="X7" s="67">
        <f t="shared" si="6"/>
        <v>1227229.9004029999</v>
      </c>
      <c r="Y7" s="21">
        <f t="shared" si="7"/>
        <v>6.5187459964697284E-2</v>
      </c>
      <c r="AA7" s="23" t="s">
        <v>5</v>
      </c>
      <c r="AB7" s="31">
        <f t="shared" si="8"/>
        <v>8.1484324955871613E-4</v>
      </c>
      <c r="AC7" s="31">
        <f t="shared" si="9"/>
        <v>1.6296864991174323E-3</v>
      </c>
      <c r="AD7" s="34">
        <f t="shared" si="10"/>
        <v>0</v>
      </c>
      <c r="AE7" s="31">
        <f t="shared" si="11"/>
        <v>2.0371081238967904E-2</v>
      </c>
      <c r="AF7" s="34">
        <f t="shared" si="12"/>
        <v>0</v>
      </c>
      <c r="AG7" s="31">
        <f t="shared" si="13"/>
        <v>2.4445297486761484E-3</v>
      </c>
      <c r="AH7" s="34">
        <f t="shared" si="14"/>
        <v>0</v>
      </c>
      <c r="AI7" s="31">
        <f t="shared" si="15"/>
        <v>8.1484324955871604E-3</v>
      </c>
      <c r="AJ7" s="31">
        <f t="shared" si="16"/>
        <v>2.4445297486761484E-3</v>
      </c>
      <c r="AK7" s="31">
        <f t="shared" si="17"/>
        <v>3.2593729982348645E-3</v>
      </c>
      <c r="AL7" s="31">
        <f t="shared" si="18"/>
        <v>1.6296864991174323E-3</v>
      </c>
      <c r="AM7" s="34">
        <f t="shared" si="19"/>
        <v>0</v>
      </c>
      <c r="AN7" s="31">
        <f t="shared" si="20"/>
        <v>8.1484324955871613E-4</v>
      </c>
      <c r="AO7" s="34">
        <f t="shared" si="21"/>
        <v>0</v>
      </c>
      <c r="AP7" s="34">
        <f t="shared" si="22"/>
        <v>0</v>
      </c>
      <c r="AQ7" s="34">
        <f t="shared" si="23"/>
        <v>0</v>
      </c>
      <c r="AR7" s="31">
        <f t="shared" si="24"/>
        <v>5.7039027469110125E-3</v>
      </c>
      <c r="AS7" s="31">
        <f t="shared" si="25"/>
        <v>2.4445297486761484E-3</v>
      </c>
      <c r="AT7" s="31">
        <f t="shared" si="26"/>
        <v>1.5482021741615606E-2</v>
      </c>
      <c r="AV7" s="23" t="s">
        <v>5</v>
      </c>
      <c r="AW7" s="67">
        <v>1227229.9004029999</v>
      </c>
      <c r="AX7" s="21">
        <v>80</v>
      </c>
      <c r="AY7" s="31">
        <v>6.5187459964697282E-5</v>
      </c>
      <c r="AZ7" s="33">
        <v>2.5</v>
      </c>
      <c r="BA7" s="31">
        <v>3.2588419091686508E-4</v>
      </c>
      <c r="BB7" s="31">
        <v>0.99967411580908316</v>
      </c>
      <c r="BC7" s="32">
        <v>99701.464615044373</v>
      </c>
      <c r="BD7" s="32">
        <v>32.491131129300186</v>
      </c>
      <c r="BE7" s="32">
        <v>498426.09524739865</v>
      </c>
      <c r="BF7" s="32">
        <v>7497426.8878843877</v>
      </c>
      <c r="BG7" s="32">
        <v>75.198763797829599</v>
      </c>
      <c r="BH7" s="69"/>
      <c r="BI7" s="34">
        <v>3</v>
      </c>
      <c r="BJ7" s="31">
        <f>BA7*BI7/AX7</f>
        <v>1.2220657159382441E-5</v>
      </c>
      <c r="BK7" s="32">
        <f>BJ7*BC7</f>
        <v>1.2184174173487572</v>
      </c>
      <c r="BL7" s="32">
        <f t="shared" si="36"/>
        <v>26707.630254882126</v>
      </c>
      <c r="BM7" s="32">
        <f t="shared" si="29"/>
        <v>9.4951113735582098</v>
      </c>
      <c r="BN7" s="74"/>
      <c r="BO7" s="91">
        <v>25</v>
      </c>
      <c r="BP7" s="77">
        <f t="shared" si="2"/>
        <v>1.0183880966152033E-4</v>
      </c>
      <c r="BQ7" s="78">
        <f t="shared" si="3"/>
        <v>10.153478477906308</v>
      </c>
      <c r="BR7" s="102">
        <f>BR6-BQ6</f>
        <v>17220.729631588718</v>
      </c>
      <c r="BS7" s="78">
        <f t="shared" si="38"/>
        <v>34.840794019257253</v>
      </c>
      <c r="BU7" s="21">
        <v>2</v>
      </c>
      <c r="BV7" s="31">
        <f t="shared" si="30"/>
        <v>8.1471047729216263E-6</v>
      </c>
      <c r="BW7" s="32">
        <f t="shared" si="4"/>
        <v>0.81227827823250465</v>
      </c>
      <c r="BX7" s="32">
        <f t="shared" si="39"/>
        <v>11530.94293878088</v>
      </c>
      <c r="BY7" s="32">
        <f t="shared" si="40"/>
        <v>2.5670072864639337</v>
      </c>
      <c r="CB7" s="23" t="s">
        <v>5</v>
      </c>
      <c r="CC7" s="21">
        <v>80</v>
      </c>
      <c r="CD7" s="21">
        <v>2</v>
      </c>
      <c r="CE7" s="31">
        <f t="shared" si="31"/>
        <v>0.97499999999999998</v>
      </c>
      <c r="CF7" s="31">
        <f t="shared" si="5"/>
        <v>0.99968226161939333</v>
      </c>
      <c r="CG7" s="32">
        <f t="shared" si="41"/>
        <v>99703.216139942073</v>
      </c>
      <c r="CH7" s="31">
        <f t="shared" si="32"/>
        <v>6.3557773465579848E-5</v>
      </c>
      <c r="CI7" s="32">
        <f t="shared" si="33"/>
        <v>31.679538437581911</v>
      </c>
      <c r="CJ7" s="32">
        <f t="shared" si="34"/>
        <v>498436.88207136746</v>
      </c>
      <c r="CK7" s="32">
        <f t="shared" si="42"/>
        <v>7594619.3106106315</v>
      </c>
      <c r="CL7" s="32">
        <f>CK7/CG7</f>
        <v>76.172260079864699</v>
      </c>
    </row>
    <row r="8" spans="1:92" x14ac:dyDescent="0.55000000000000004">
      <c r="A8" s="23" t="s">
        <v>4</v>
      </c>
      <c r="B8" s="21">
        <v>1178983.4111259999</v>
      </c>
      <c r="C8" s="21">
        <v>1159214.734807</v>
      </c>
      <c r="D8" s="64">
        <v>1</v>
      </c>
      <c r="E8" s="65">
        <v>3</v>
      </c>
      <c r="F8" s="65">
        <v>1</v>
      </c>
      <c r="G8" s="65">
        <v>43</v>
      </c>
      <c r="H8" s="65">
        <v>1</v>
      </c>
      <c r="I8" s="65">
        <v>1</v>
      </c>
      <c r="J8" s="65">
        <v>1</v>
      </c>
      <c r="K8" s="65">
        <v>13</v>
      </c>
      <c r="L8" s="65">
        <v>12</v>
      </c>
      <c r="M8" s="65">
        <v>4</v>
      </c>
      <c r="N8" s="65">
        <v>4</v>
      </c>
      <c r="O8" s="65">
        <v>0</v>
      </c>
      <c r="P8" s="65">
        <v>0</v>
      </c>
      <c r="Q8" s="65">
        <v>0</v>
      </c>
      <c r="R8" s="65">
        <v>0</v>
      </c>
      <c r="S8" s="65">
        <v>1</v>
      </c>
      <c r="T8" s="65">
        <v>8</v>
      </c>
      <c r="U8" s="65">
        <v>2</v>
      </c>
      <c r="V8" s="65">
        <v>42</v>
      </c>
      <c r="W8" s="66">
        <f t="shared" si="0"/>
        <v>137</v>
      </c>
      <c r="X8" s="67">
        <f t="shared" si="6"/>
        <v>1169099.0729665</v>
      </c>
      <c r="Y8" s="21">
        <f t="shared" si="7"/>
        <v>0.11718425167541441</v>
      </c>
      <c r="AA8" s="23" t="s">
        <v>4</v>
      </c>
      <c r="AB8" s="31">
        <f t="shared" si="8"/>
        <v>8.5535950128039716E-4</v>
      </c>
      <c r="AC8" s="31">
        <f t="shared" si="9"/>
        <v>2.5660785038411913E-3</v>
      </c>
      <c r="AD8" s="31">
        <f t="shared" si="10"/>
        <v>8.5535950128039716E-4</v>
      </c>
      <c r="AE8" s="31">
        <f t="shared" si="11"/>
        <v>3.6780458555057079E-2</v>
      </c>
      <c r="AF8" s="31">
        <f t="shared" si="12"/>
        <v>8.5535950128039716E-4</v>
      </c>
      <c r="AG8" s="31">
        <f t="shared" si="13"/>
        <v>8.5535950128039716E-4</v>
      </c>
      <c r="AH8" s="31">
        <f t="shared" si="14"/>
        <v>8.5535950128039716E-4</v>
      </c>
      <c r="AI8" s="31">
        <f t="shared" si="15"/>
        <v>1.1119673516645162E-2</v>
      </c>
      <c r="AJ8" s="31">
        <f t="shared" si="16"/>
        <v>1.0264314015364765E-2</v>
      </c>
      <c r="AK8" s="31">
        <f t="shared" si="17"/>
        <v>3.4214380051215887E-3</v>
      </c>
      <c r="AL8" s="31">
        <f t="shared" si="18"/>
        <v>3.4214380051215887E-3</v>
      </c>
      <c r="AM8" s="34">
        <f t="shared" si="19"/>
        <v>0</v>
      </c>
      <c r="AN8" s="34">
        <f t="shared" si="20"/>
        <v>0</v>
      </c>
      <c r="AO8" s="34">
        <f t="shared" si="21"/>
        <v>0</v>
      </c>
      <c r="AP8" s="34">
        <f t="shared" si="22"/>
        <v>0</v>
      </c>
      <c r="AQ8" s="31">
        <f t="shared" si="23"/>
        <v>8.5535950128039716E-4</v>
      </c>
      <c r="AR8" s="31">
        <f t="shared" si="24"/>
        <v>6.8428760102431773E-3</v>
      </c>
      <c r="AS8" s="31">
        <f t="shared" si="25"/>
        <v>1.7107190025607943E-3</v>
      </c>
      <c r="AT8" s="31">
        <f t="shared" si="26"/>
        <v>3.592509905377668E-2</v>
      </c>
      <c r="AV8" s="23" t="s">
        <v>4</v>
      </c>
      <c r="AW8" s="67">
        <v>1169099.0729665</v>
      </c>
      <c r="AX8" s="21">
        <v>137</v>
      </c>
      <c r="AY8" s="31">
        <v>1.171842516754144E-4</v>
      </c>
      <c r="AZ8" s="33">
        <v>2.5</v>
      </c>
      <c r="BA8" s="31">
        <v>5.8574965678907212E-4</v>
      </c>
      <c r="BB8" s="31">
        <v>0.99941425034321096</v>
      </c>
      <c r="BC8" s="32">
        <v>99668.973483915077</v>
      </c>
      <c r="BD8" s="32">
        <v>58.381067010722383</v>
      </c>
      <c r="BE8" s="32">
        <v>498198.91475204856</v>
      </c>
      <c r="BF8" s="32">
        <v>6999000.7926369887</v>
      </c>
      <c r="BG8" s="32">
        <v>70.22246289881285</v>
      </c>
      <c r="BH8" s="69"/>
      <c r="BI8" s="34">
        <v>12</v>
      </c>
      <c r="BJ8" s="31">
        <f t="shared" si="27"/>
        <v>5.1306539280794642E-5</v>
      </c>
      <c r="BK8" s="32">
        <f t="shared" si="28"/>
        <v>5.1136701031289684</v>
      </c>
      <c r="BL8" s="32">
        <f t="shared" si="36"/>
        <v>26706.411837464777</v>
      </c>
      <c r="BM8" s="32">
        <f t="shared" si="29"/>
        <v>14.608781476687177</v>
      </c>
      <c r="BN8" s="74"/>
      <c r="BO8" s="91">
        <v>43</v>
      </c>
      <c r="BP8" s="77">
        <f t="shared" si="2"/>
        <v>1.8384843242284744E-4</v>
      </c>
      <c r="BQ8" s="78">
        <f t="shared" si="3"/>
        <v>18.323984536212134</v>
      </c>
      <c r="BR8" s="102">
        <f t="shared" si="37"/>
        <v>17210.576153110811</v>
      </c>
      <c r="BS8" s="78">
        <f t="shared" si="38"/>
        <v>53.164778555469383</v>
      </c>
      <c r="BU8" s="21">
        <v>3</v>
      </c>
      <c r="BV8" s="31">
        <f t="shared" si="30"/>
        <v>1.282663482019866E-5</v>
      </c>
      <c r="BW8" s="32">
        <f t="shared" si="4"/>
        <v>1.2784175257822421</v>
      </c>
      <c r="BX8" s="32">
        <f t="shared" si="39"/>
        <v>11530.130660502648</v>
      </c>
      <c r="BY8" s="32">
        <f t="shared" si="40"/>
        <v>3.8454248122461756</v>
      </c>
      <c r="CB8" s="23" t="s">
        <v>4</v>
      </c>
      <c r="CC8" s="21">
        <v>137</v>
      </c>
      <c r="CD8" s="21">
        <v>3</v>
      </c>
      <c r="CE8" s="31">
        <f t="shared" si="31"/>
        <v>0.97810218978102192</v>
      </c>
      <c r="CF8" s="31">
        <f t="shared" si="5"/>
        <v>0.99942707330296066</v>
      </c>
      <c r="CG8" s="32">
        <f t="shared" si="41"/>
        <v>99671.536601504486</v>
      </c>
      <c r="CH8" s="31">
        <f t="shared" si="32"/>
        <v>1.1461817317157322E-4</v>
      </c>
      <c r="CI8" s="32">
        <f t="shared" si="33"/>
        <v>57.104484253936079</v>
      </c>
      <c r="CJ8" s="32">
        <f t="shared" si="34"/>
        <v>498214.92241422954</v>
      </c>
      <c r="CK8" s="32">
        <f t="shared" si="42"/>
        <v>7096182.428539264</v>
      </c>
      <c r="CL8" s="32">
        <f t="shared" si="35"/>
        <v>71.195676022437794</v>
      </c>
    </row>
    <row r="9" spans="1:92" x14ac:dyDescent="0.55000000000000004">
      <c r="A9" s="23" t="s">
        <v>6</v>
      </c>
      <c r="B9" s="21">
        <v>1164436.5950259999</v>
      </c>
      <c r="C9" s="21">
        <v>1148341.861329</v>
      </c>
      <c r="D9" s="64">
        <v>1</v>
      </c>
      <c r="E9" s="65">
        <v>6</v>
      </c>
      <c r="F9" s="65">
        <v>1</v>
      </c>
      <c r="G9" s="65">
        <v>40</v>
      </c>
      <c r="H9" s="65">
        <v>1</v>
      </c>
      <c r="I9" s="65">
        <v>6</v>
      </c>
      <c r="J9" s="65">
        <v>2</v>
      </c>
      <c r="K9" s="65">
        <v>9</v>
      </c>
      <c r="L9" s="65">
        <v>8</v>
      </c>
      <c r="M9" s="65">
        <v>8</v>
      </c>
      <c r="N9" s="65">
        <v>4</v>
      </c>
      <c r="O9" s="65">
        <v>0</v>
      </c>
      <c r="P9" s="65">
        <v>0</v>
      </c>
      <c r="Q9" s="65">
        <v>0</v>
      </c>
      <c r="R9" s="65">
        <v>1</v>
      </c>
      <c r="S9" s="65">
        <v>2</v>
      </c>
      <c r="T9" s="65">
        <v>7</v>
      </c>
      <c r="U9" s="65">
        <v>3</v>
      </c>
      <c r="V9" s="65">
        <v>52</v>
      </c>
      <c r="W9" s="66">
        <f t="shared" si="0"/>
        <v>151</v>
      </c>
      <c r="X9" s="67">
        <f t="shared" si="6"/>
        <v>1156389.2281775</v>
      </c>
      <c r="Y9" s="21">
        <f t="shared" si="7"/>
        <v>0.13057887112800245</v>
      </c>
      <c r="AA9" s="23" t="s">
        <v>6</v>
      </c>
      <c r="AB9" s="31">
        <f t="shared" si="8"/>
        <v>8.6476073594703618E-4</v>
      </c>
      <c r="AC9" s="31">
        <f t="shared" si="9"/>
        <v>5.1885644156822166E-3</v>
      </c>
      <c r="AD9" s="31">
        <f t="shared" si="10"/>
        <v>8.6476073594703618E-4</v>
      </c>
      <c r="AE9" s="31">
        <f t="shared" si="11"/>
        <v>3.4590429437881445E-2</v>
      </c>
      <c r="AF9" s="31">
        <f t="shared" si="12"/>
        <v>8.6476073594703618E-4</v>
      </c>
      <c r="AG9" s="31">
        <f t="shared" si="13"/>
        <v>5.1885644156822166E-3</v>
      </c>
      <c r="AH9" s="31">
        <f t="shared" si="14"/>
        <v>1.7295214718940724E-3</v>
      </c>
      <c r="AI9" s="31">
        <f t="shared" si="15"/>
        <v>7.7828466235233254E-3</v>
      </c>
      <c r="AJ9" s="31">
        <f t="shared" si="16"/>
        <v>6.9180858875762894E-3</v>
      </c>
      <c r="AK9" s="31">
        <f t="shared" si="17"/>
        <v>6.9180858875762894E-3</v>
      </c>
      <c r="AL9" s="31">
        <f t="shared" si="18"/>
        <v>3.4590429437881447E-3</v>
      </c>
      <c r="AM9" s="34">
        <f t="shared" si="19"/>
        <v>0</v>
      </c>
      <c r="AN9" s="34">
        <f t="shared" si="20"/>
        <v>0</v>
      </c>
      <c r="AO9" s="34">
        <f t="shared" si="21"/>
        <v>0</v>
      </c>
      <c r="AP9" s="31">
        <f t="shared" si="22"/>
        <v>8.6476073594703618E-4</v>
      </c>
      <c r="AQ9" s="31">
        <f t="shared" si="23"/>
        <v>1.7295214718940724E-3</v>
      </c>
      <c r="AR9" s="31">
        <f t="shared" si="24"/>
        <v>6.0533251516292534E-3</v>
      </c>
      <c r="AS9" s="31">
        <f t="shared" si="25"/>
        <v>2.5942822078411083E-3</v>
      </c>
      <c r="AT9" s="31">
        <f t="shared" si="26"/>
        <v>4.496755826924588E-2</v>
      </c>
      <c r="AV9" s="23" t="s">
        <v>6</v>
      </c>
      <c r="AW9" s="67">
        <v>1156389.2281775</v>
      </c>
      <c r="AX9" s="21">
        <v>151</v>
      </c>
      <c r="AY9" s="31">
        <v>1.3057887112800245E-4</v>
      </c>
      <c r="AZ9" s="33">
        <v>2.5</v>
      </c>
      <c r="BA9" s="31">
        <v>6.5268128967498193E-4</v>
      </c>
      <c r="BB9" s="31">
        <v>0.99934731871032501</v>
      </c>
      <c r="BC9" s="32">
        <v>99610.592416904357</v>
      </c>
      <c r="BD9" s="32">
        <v>65.013969923954107</v>
      </c>
      <c r="BE9" s="32">
        <v>497890.42715971189</v>
      </c>
      <c r="BF9" s="32">
        <v>6500801.8778849402</v>
      </c>
      <c r="BG9" s="32">
        <v>65.262154557588246</v>
      </c>
      <c r="BH9" s="69"/>
      <c r="BI9" s="34">
        <v>8</v>
      </c>
      <c r="BJ9" s="31">
        <f t="shared" si="27"/>
        <v>3.4579141174833477E-5</v>
      </c>
      <c r="BK9" s="32">
        <f t="shared" si="28"/>
        <v>3.4444487376929329</v>
      </c>
      <c r="BL9" s="32">
        <f t="shared" si="36"/>
        <v>26701.298167361649</v>
      </c>
      <c r="BM9" s="32">
        <f t="shared" si="29"/>
        <v>18.053230214380111</v>
      </c>
      <c r="BN9" s="74"/>
      <c r="BO9" s="91">
        <v>40</v>
      </c>
      <c r="BP9" s="77">
        <f t="shared" si="2"/>
        <v>1.7289570587416739E-4</v>
      </c>
      <c r="BQ9" s="78">
        <f t="shared" si="3"/>
        <v>17.222243688464665</v>
      </c>
      <c r="BR9" s="102">
        <f t="shared" si="37"/>
        <v>17192.2521685746</v>
      </c>
      <c r="BS9" s="78">
        <f t="shared" si="38"/>
        <v>70.387022243934041</v>
      </c>
      <c r="BU9" s="21">
        <v>6</v>
      </c>
      <c r="BV9" s="31">
        <f t="shared" si="30"/>
        <v>2.5934355881125109E-5</v>
      </c>
      <c r="BW9" s="32">
        <f t="shared" si="4"/>
        <v>2.5833365532696999</v>
      </c>
      <c r="BX9" s="32">
        <f t="shared" si="39"/>
        <v>11528.852242976865</v>
      </c>
      <c r="BY9" s="32">
        <f t="shared" si="40"/>
        <v>6.4287613655158751</v>
      </c>
      <c r="CB9" s="23" t="s">
        <v>6</v>
      </c>
      <c r="CC9" s="21">
        <v>151</v>
      </c>
      <c r="CD9" s="21">
        <v>6</v>
      </c>
      <c r="CE9" s="31">
        <f t="shared" si="31"/>
        <v>0.96026490066225167</v>
      </c>
      <c r="CF9" s="31">
        <f t="shared" si="5"/>
        <v>0.99937324493722812</v>
      </c>
      <c r="CG9" s="32">
        <f t="shared" si="41"/>
        <v>99614.432117250544</v>
      </c>
      <c r="CH9" s="31">
        <f t="shared" si="32"/>
        <v>1.2539030671232025E-4</v>
      </c>
      <c r="CI9" s="32">
        <f t="shared" si="33"/>
        <v>62.433849654632311</v>
      </c>
      <c r="CJ9" s="32">
        <f t="shared" si="34"/>
        <v>497916.07733979536</v>
      </c>
      <c r="CK9" s="32">
        <f t="shared" si="42"/>
        <v>6597967.5061250348</v>
      </c>
      <c r="CL9" s="32">
        <f t="shared" si="35"/>
        <v>66.23505616494343</v>
      </c>
    </row>
    <row r="10" spans="1:92" x14ac:dyDescent="0.55000000000000004">
      <c r="A10" s="23" t="s">
        <v>7</v>
      </c>
      <c r="B10" s="21">
        <v>1247889.833501</v>
      </c>
      <c r="C10" s="21">
        <v>1257566.604845</v>
      </c>
      <c r="D10" s="64">
        <v>2</v>
      </c>
      <c r="E10" s="65">
        <v>13</v>
      </c>
      <c r="F10" s="65">
        <v>2</v>
      </c>
      <c r="G10" s="65">
        <v>53</v>
      </c>
      <c r="H10" s="65">
        <v>1</v>
      </c>
      <c r="I10" s="65">
        <v>6</v>
      </c>
      <c r="J10" s="65">
        <v>0</v>
      </c>
      <c r="K10" s="65">
        <v>15</v>
      </c>
      <c r="L10" s="65">
        <v>27</v>
      </c>
      <c r="M10" s="65">
        <v>7</v>
      </c>
      <c r="N10" s="65">
        <v>9</v>
      </c>
      <c r="O10" s="65">
        <v>0</v>
      </c>
      <c r="P10" s="65">
        <v>0</v>
      </c>
      <c r="Q10" s="65">
        <v>1</v>
      </c>
      <c r="R10" s="65">
        <v>1</v>
      </c>
      <c r="S10" s="65">
        <v>0</v>
      </c>
      <c r="T10" s="65">
        <v>5</v>
      </c>
      <c r="U10" s="65">
        <v>10</v>
      </c>
      <c r="V10" s="65">
        <v>91</v>
      </c>
      <c r="W10" s="66">
        <f t="shared" si="0"/>
        <v>243</v>
      </c>
      <c r="X10" s="67">
        <f t="shared" si="6"/>
        <v>1252728.219173</v>
      </c>
      <c r="Y10" s="21">
        <f t="shared" si="7"/>
        <v>0.19397663138810642</v>
      </c>
      <c r="AA10" s="23" t="s">
        <v>7</v>
      </c>
      <c r="AB10" s="31">
        <f t="shared" si="8"/>
        <v>1.596515484675773E-3</v>
      </c>
      <c r="AC10" s="31">
        <f t="shared" si="9"/>
        <v>1.0377350650392525E-2</v>
      </c>
      <c r="AD10" s="31">
        <f t="shared" si="10"/>
        <v>1.596515484675773E-3</v>
      </c>
      <c r="AE10" s="31">
        <f t="shared" si="11"/>
        <v>4.2307660343907982E-2</v>
      </c>
      <c r="AF10" s="31">
        <f t="shared" si="12"/>
        <v>7.982577423378865E-4</v>
      </c>
      <c r="AG10" s="31">
        <f t="shared" si="13"/>
        <v>4.7895464540273188E-3</v>
      </c>
      <c r="AH10" s="34">
        <f t="shared" si="14"/>
        <v>0</v>
      </c>
      <c r="AI10" s="31">
        <f t="shared" si="15"/>
        <v>1.1973866135068298E-2</v>
      </c>
      <c r="AJ10" s="31">
        <f t="shared" si="16"/>
        <v>2.1552959043122936E-2</v>
      </c>
      <c r="AK10" s="31">
        <f t="shared" si="17"/>
        <v>5.5878041963652054E-3</v>
      </c>
      <c r="AL10" s="31">
        <f t="shared" si="18"/>
        <v>7.1843196810409786E-3</v>
      </c>
      <c r="AM10" s="34">
        <f t="shared" si="19"/>
        <v>0</v>
      </c>
      <c r="AN10" s="34">
        <f t="shared" si="20"/>
        <v>0</v>
      </c>
      <c r="AO10" s="31">
        <f t="shared" si="21"/>
        <v>7.982577423378865E-4</v>
      </c>
      <c r="AP10" s="31">
        <f t="shared" si="22"/>
        <v>7.982577423378865E-4</v>
      </c>
      <c r="AQ10" s="34">
        <f t="shared" si="23"/>
        <v>0</v>
      </c>
      <c r="AR10" s="31">
        <f t="shared" si="24"/>
        <v>3.9912887116894322E-3</v>
      </c>
      <c r="AS10" s="31">
        <f t="shared" si="25"/>
        <v>7.9825774233788643E-3</v>
      </c>
      <c r="AT10" s="31">
        <f t="shared" si="26"/>
        <v>7.2641454552747675E-2</v>
      </c>
      <c r="AV10" s="23" t="s">
        <v>7</v>
      </c>
      <c r="AW10" s="67">
        <v>1252728.219173</v>
      </c>
      <c r="AX10" s="21">
        <v>243</v>
      </c>
      <c r="AY10" s="31">
        <v>1.9397663138810643E-4</v>
      </c>
      <c r="AZ10" s="33">
        <v>2.5</v>
      </c>
      <c r="BA10" s="31">
        <v>9.6941304824672576E-4</v>
      </c>
      <c r="BB10" s="31">
        <v>0.99903058695175329</v>
      </c>
      <c r="BC10" s="32">
        <v>99545.578446980406</v>
      </c>
      <c r="BD10" s="32">
        <v>96.50078264177084</v>
      </c>
      <c r="BE10" s="32">
        <v>497486.64027829759</v>
      </c>
      <c r="BF10" s="32">
        <v>6002911.4507252285</v>
      </c>
      <c r="BG10" s="32">
        <v>60.303144995259402</v>
      </c>
      <c r="BH10" s="69"/>
      <c r="BI10" s="34">
        <v>27</v>
      </c>
      <c r="BJ10" s="31">
        <f t="shared" si="27"/>
        <v>1.0771256091630287E-4</v>
      </c>
      <c r="BK10" s="32">
        <f t="shared" si="28"/>
        <v>10.722309182418982</v>
      </c>
      <c r="BL10" s="32">
        <f t="shared" si="36"/>
        <v>26697.853718623956</v>
      </c>
      <c r="BM10" s="32">
        <f t="shared" si="29"/>
        <v>28.775539396799093</v>
      </c>
      <c r="BN10" s="74"/>
      <c r="BO10" s="91">
        <v>53</v>
      </c>
      <c r="BP10" s="77">
        <f t="shared" si="2"/>
        <v>2.1143576772459451E-4</v>
      </c>
      <c r="BQ10" s="78">
        <f t="shared" si="3"/>
        <v>21.04749580252615</v>
      </c>
      <c r="BR10" s="102">
        <f t="shared" si="37"/>
        <v>17175.029924886134</v>
      </c>
      <c r="BS10" s="78">
        <f t="shared" si="38"/>
        <v>91.434518046460198</v>
      </c>
      <c r="BU10" s="21">
        <v>13</v>
      </c>
      <c r="BV10" s="31">
        <f t="shared" si="30"/>
        <v>5.1861603404145819E-5</v>
      </c>
      <c r="BW10" s="32">
        <f t="shared" si="4"/>
        <v>5.1625933100535839</v>
      </c>
      <c r="BX10" s="32">
        <f t="shared" si="39"/>
        <v>11526.268906423596</v>
      </c>
      <c r="BY10" s="32">
        <f t="shared" si="40"/>
        <v>11.591354675569459</v>
      </c>
      <c r="CB10" s="23" t="s">
        <v>7</v>
      </c>
      <c r="CC10" s="21">
        <v>243</v>
      </c>
      <c r="CD10" s="21">
        <v>13</v>
      </c>
      <c r="CE10" s="31">
        <f t="shared" si="31"/>
        <v>0.94650205761316875</v>
      </c>
      <c r="CF10" s="31">
        <f t="shared" si="5"/>
        <v>0.99908242475420916</v>
      </c>
      <c r="CG10" s="32">
        <f t="shared" si="41"/>
        <v>99551.998267595918</v>
      </c>
      <c r="CH10" s="31">
        <f t="shared" si="32"/>
        <v>1.8359928073771389E-4</v>
      </c>
      <c r="CI10" s="32">
        <f t="shared" si="33"/>
        <v>91.346449279358197</v>
      </c>
      <c r="CJ10" s="32">
        <f t="shared" si="34"/>
        <v>497531.62927611807</v>
      </c>
      <c r="CK10" s="32">
        <f t="shared" si="42"/>
        <v>6100051.4287852393</v>
      </c>
      <c r="CL10" s="32">
        <f t="shared" si="35"/>
        <v>61.275027472460089</v>
      </c>
    </row>
    <row r="11" spans="1:92" x14ac:dyDescent="0.55000000000000004">
      <c r="A11" s="23" t="s">
        <v>8</v>
      </c>
      <c r="B11" s="21">
        <v>1371909.9804750001</v>
      </c>
      <c r="C11" s="21">
        <v>1391723.746388</v>
      </c>
      <c r="D11" s="64">
        <v>7</v>
      </c>
      <c r="E11" s="65">
        <v>22</v>
      </c>
      <c r="F11" s="65">
        <v>4</v>
      </c>
      <c r="G11" s="65">
        <v>148</v>
      </c>
      <c r="H11" s="65">
        <v>3</v>
      </c>
      <c r="I11" s="65">
        <v>3</v>
      </c>
      <c r="J11" s="65">
        <v>1</v>
      </c>
      <c r="K11" s="65">
        <v>24</v>
      </c>
      <c r="L11" s="65">
        <v>32</v>
      </c>
      <c r="M11" s="65">
        <v>17</v>
      </c>
      <c r="N11" s="65">
        <v>12</v>
      </c>
      <c r="O11" s="65">
        <v>0</v>
      </c>
      <c r="P11" s="65">
        <v>1</v>
      </c>
      <c r="Q11" s="65">
        <v>3</v>
      </c>
      <c r="R11" s="65">
        <v>2</v>
      </c>
      <c r="S11" s="65">
        <v>2</v>
      </c>
      <c r="T11" s="65">
        <v>6</v>
      </c>
      <c r="U11" s="65">
        <v>15</v>
      </c>
      <c r="V11" s="65">
        <v>74</v>
      </c>
      <c r="W11" s="66">
        <f t="shared" si="0"/>
        <v>376</v>
      </c>
      <c r="X11" s="67">
        <f t="shared" si="6"/>
        <v>1381816.8634315</v>
      </c>
      <c r="Y11" s="21">
        <f t="shared" si="7"/>
        <v>0.27210552277258354</v>
      </c>
      <c r="AA11" s="23" t="s">
        <v>8</v>
      </c>
      <c r="AB11" s="31">
        <f t="shared" si="8"/>
        <v>5.0657943069363958E-3</v>
      </c>
      <c r="AC11" s="31">
        <f t="shared" si="9"/>
        <v>1.5921067821800101E-2</v>
      </c>
      <c r="AD11" s="31">
        <f t="shared" si="10"/>
        <v>2.8947396039636546E-3</v>
      </c>
      <c r="AE11" s="31">
        <f t="shared" si="11"/>
        <v>0.10710536534665523</v>
      </c>
      <c r="AF11" s="31">
        <f t="shared" si="12"/>
        <v>2.1710547029727412E-3</v>
      </c>
      <c r="AG11" s="31">
        <f t="shared" si="13"/>
        <v>2.1710547029727412E-3</v>
      </c>
      <c r="AH11" s="31">
        <f t="shared" si="14"/>
        <v>7.2368490099091365E-4</v>
      </c>
      <c r="AI11" s="31">
        <f t="shared" si="15"/>
        <v>1.7368437623781929E-2</v>
      </c>
      <c r="AJ11" s="31">
        <f t="shared" si="16"/>
        <v>2.3157916831709237E-2</v>
      </c>
      <c r="AK11" s="31">
        <f t="shared" si="17"/>
        <v>1.2302643316845533E-2</v>
      </c>
      <c r="AL11" s="31">
        <f t="shared" si="18"/>
        <v>8.6842188118909647E-3</v>
      </c>
      <c r="AM11" s="34">
        <f t="shared" si="19"/>
        <v>0</v>
      </c>
      <c r="AN11" s="31">
        <f t="shared" si="20"/>
        <v>7.2368490099091365E-4</v>
      </c>
      <c r="AO11" s="31">
        <f t="shared" si="21"/>
        <v>2.1710547029727412E-3</v>
      </c>
      <c r="AP11" s="31">
        <f t="shared" si="22"/>
        <v>1.4473698019818273E-3</v>
      </c>
      <c r="AQ11" s="31">
        <f t="shared" si="23"/>
        <v>1.4473698019818273E-3</v>
      </c>
      <c r="AR11" s="31">
        <f t="shared" si="24"/>
        <v>4.3421094059454823E-3</v>
      </c>
      <c r="AS11" s="31">
        <f t="shared" si="25"/>
        <v>1.0855273514863706E-2</v>
      </c>
      <c r="AT11" s="31">
        <f t="shared" si="26"/>
        <v>5.3552682673327613E-2</v>
      </c>
      <c r="AV11" s="23" t="s">
        <v>8</v>
      </c>
      <c r="AW11" s="67">
        <v>1381816.8634315</v>
      </c>
      <c r="AX11" s="21">
        <v>376</v>
      </c>
      <c r="AY11" s="31">
        <v>2.7210552277258355E-4</v>
      </c>
      <c r="AZ11" s="33">
        <v>2.5</v>
      </c>
      <c r="BA11" s="31">
        <v>1.3596027253370657E-3</v>
      </c>
      <c r="BB11" s="31">
        <v>0.99864039727466292</v>
      </c>
      <c r="BC11" s="32">
        <v>99449.077664338634</v>
      </c>
      <c r="BD11" s="32">
        <v>135.21123702469231</v>
      </c>
      <c r="BE11" s="32">
        <v>496907.36022913147</v>
      </c>
      <c r="BF11" s="32">
        <v>5505424.810446931</v>
      </c>
      <c r="BG11" s="32">
        <v>55.359234492137645</v>
      </c>
      <c r="BH11" s="69"/>
      <c r="BI11" s="34">
        <v>32</v>
      </c>
      <c r="BJ11" s="31">
        <f t="shared" si="27"/>
        <v>1.157108702414524E-4</v>
      </c>
      <c r="BK11" s="32">
        <f t="shared" si="28"/>
        <v>11.507339321250409</v>
      </c>
      <c r="BL11" s="32">
        <f t="shared" si="36"/>
        <v>26687.131409441536</v>
      </c>
      <c r="BM11" s="32">
        <f t="shared" si="29"/>
        <v>40.282878718049503</v>
      </c>
      <c r="BN11" s="74"/>
      <c r="BO11" s="91">
        <v>148</v>
      </c>
      <c r="BP11" s="77">
        <f t="shared" si="2"/>
        <v>5.3516277486671739E-4</v>
      </c>
      <c r="BQ11" s="78">
        <f t="shared" si="3"/>
        <v>53.221444360783153</v>
      </c>
      <c r="BR11" s="102">
        <f t="shared" si="37"/>
        <v>17153.982429083608</v>
      </c>
      <c r="BS11" s="78">
        <f t="shared" si="38"/>
        <v>144.65596240724335</v>
      </c>
      <c r="BU11" s="21">
        <v>22</v>
      </c>
      <c r="BV11" s="31">
        <f t="shared" si="30"/>
        <v>7.9551223290998523E-5</v>
      </c>
      <c r="BW11" s="32">
        <f t="shared" si="4"/>
        <v>7.9112957833596562</v>
      </c>
      <c r="BX11" s="32">
        <f t="shared" si="39"/>
        <v>11521.106313113543</v>
      </c>
      <c r="BY11" s="32">
        <f t="shared" si="40"/>
        <v>19.502650458929114</v>
      </c>
      <c r="CB11" s="23" t="s">
        <v>8</v>
      </c>
      <c r="CC11" s="21">
        <v>376</v>
      </c>
      <c r="CD11" s="21">
        <v>22</v>
      </c>
      <c r="CE11" s="31">
        <f t="shared" si="31"/>
        <v>0.94148936170212771</v>
      </c>
      <c r="CF11" s="31">
        <f t="shared" si="5"/>
        <v>0.99871989755868062</v>
      </c>
      <c r="CG11" s="32">
        <f t="shared" si="41"/>
        <v>99460.651818316561</v>
      </c>
      <c r="CH11" s="31">
        <f t="shared" si="32"/>
        <v>2.5618445495078344E-4</v>
      </c>
      <c r="CI11" s="32">
        <f t="shared" si="33"/>
        <v>127.31982320784337</v>
      </c>
      <c r="CJ11" s="32">
        <f t="shared" si="34"/>
        <v>496984.96824213344</v>
      </c>
      <c r="CK11" s="32">
        <f t="shared" si="42"/>
        <v>5602519.7995091211</v>
      </c>
      <c r="CL11" s="32">
        <f t="shared" si="35"/>
        <v>56.329007472655306</v>
      </c>
    </row>
    <row r="12" spans="1:92" x14ac:dyDescent="0.55000000000000004">
      <c r="A12" s="23" t="s">
        <v>9</v>
      </c>
      <c r="B12" s="21">
        <v>1607492.8753589999</v>
      </c>
      <c r="C12" s="21">
        <v>1669073.8978989997</v>
      </c>
      <c r="D12" s="64">
        <v>12</v>
      </c>
      <c r="E12" s="65">
        <v>33</v>
      </c>
      <c r="F12" s="65">
        <v>3</v>
      </c>
      <c r="G12" s="65">
        <v>287</v>
      </c>
      <c r="H12" s="65">
        <v>4</v>
      </c>
      <c r="I12" s="65">
        <v>13</v>
      </c>
      <c r="J12" s="65">
        <v>7</v>
      </c>
      <c r="K12" s="65">
        <v>25</v>
      </c>
      <c r="L12" s="65">
        <v>84</v>
      </c>
      <c r="M12" s="65">
        <v>31</v>
      </c>
      <c r="N12" s="65">
        <v>18</v>
      </c>
      <c r="O12" s="65">
        <v>0</v>
      </c>
      <c r="P12" s="65">
        <v>4</v>
      </c>
      <c r="Q12" s="65">
        <v>4</v>
      </c>
      <c r="R12" s="65">
        <v>4</v>
      </c>
      <c r="S12" s="65">
        <v>2</v>
      </c>
      <c r="T12" s="65">
        <v>13</v>
      </c>
      <c r="U12" s="65">
        <v>8</v>
      </c>
      <c r="V12" s="65">
        <v>133</v>
      </c>
      <c r="W12" s="66">
        <f t="shared" si="0"/>
        <v>685</v>
      </c>
      <c r="X12" s="67">
        <f t="shared" si="6"/>
        <v>1638283.3866289998</v>
      </c>
      <c r="Y12" s="21">
        <f t="shared" si="7"/>
        <v>0.41812058010884462</v>
      </c>
      <c r="AA12" s="23" t="s">
        <v>9</v>
      </c>
      <c r="AB12" s="31">
        <f t="shared" si="8"/>
        <v>7.3247400894980077E-3</v>
      </c>
      <c r="AC12" s="31">
        <f t="shared" si="9"/>
        <v>2.0143035246119521E-2</v>
      </c>
      <c r="AD12" s="31">
        <f t="shared" si="10"/>
        <v>1.8311850223745019E-3</v>
      </c>
      <c r="AE12" s="31">
        <f t="shared" si="11"/>
        <v>0.17518336714049401</v>
      </c>
      <c r="AF12" s="31">
        <f t="shared" si="12"/>
        <v>2.4415800298326694E-3</v>
      </c>
      <c r="AG12" s="31">
        <f t="shared" si="13"/>
        <v>7.9351350969561751E-3</v>
      </c>
      <c r="AH12" s="31">
        <f t="shared" si="14"/>
        <v>4.2727650522071713E-3</v>
      </c>
      <c r="AI12" s="31">
        <f t="shared" si="15"/>
        <v>1.5259875186454183E-2</v>
      </c>
      <c r="AJ12" s="31">
        <f t="shared" si="16"/>
        <v>5.1273180626486059E-2</v>
      </c>
      <c r="AK12" s="31">
        <f t="shared" si="17"/>
        <v>1.8922245231203186E-2</v>
      </c>
      <c r="AL12" s="31">
        <f t="shared" si="18"/>
        <v>1.0987110134247012E-2</v>
      </c>
      <c r="AM12" s="34">
        <f t="shared" si="19"/>
        <v>0</v>
      </c>
      <c r="AN12" s="31">
        <f t="shared" si="20"/>
        <v>2.4415800298326694E-3</v>
      </c>
      <c r="AO12" s="31">
        <f t="shared" si="21"/>
        <v>2.4415800298326694E-3</v>
      </c>
      <c r="AP12" s="31">
        <f t="shared" si="22"/>
        <v>2.4415800298326694E-3</v>
      </c>
      <c r="AQ12" s="31">
        <f t="shared" si="23"/>
        <v>1.2207900149163347E-3</v>
      </c>
      <c r="AR12" s="31">
        <f t="shared" si="24"/>
        <v>7.9351350969561751E-3</v>
      </c>
      <c r="AS12" s="31">
        <f t="shared" si="25"/>
        <v>4.8831600596653387E-3</v>
      </c>
      <c r="AT12" s="31">
        <f t="shared" si="26"/>
        <v>8.1182535991936255E-2</v>
      </c>
      <c r="AV12" s="23" t="s">
        <v>9</v>
      </c>
      <c r="AW12" s="67">
        <v>1638283.3866289998</v>
      </c>
      <c r="AX12" s="21">
        <v>685</v>
      </c>
      <c r="AY12" s="31">
        <v>4.181205801088446E-4</v>
      </c>
      <c r="AZ12" s="33">
        <v>2.5</v>
      </c>
      <c r="BA12" s="31">
        <v>2.0884198722230115E-3</v>
      </c>
      <c r="BB12" s="31">
        <v>0.99791158012777703</v>
      </c>
      <c r="BC12" s="32">
        <v>99313.866427313944</v>
      </c>
      <c r="BD12" s="32">
        <v>207.40905223410422</v>
      </c>
      <c r="BE12" s="32">
        <v>496050.80950598448</v>
      </c>
      <c r="BF12" s="32">
        <v>5008517.4502177993</v>
      </c>
      <c r="BG12" s="32">
        <v>50.431199895771293</v>
      </c>
      <c r="BH12" s="69"/>
      <c r="BI12" s="34">
        <v>84</v>
      </c>
      <c r="BJ12" s="31">
        <f t="shared" si="27"/>
        <v>2.5609820330909922E-4</v>
      </c>
      <c r="BK12" s="32">
        <f t="shared" si="28"/>
        <v>25.434102755714971</v>
      </c>
      <c r="BL12" s="32">
        <f t="shared" si="36"/>
        <v>26675.624070120284</v>
      </c>
      <c r="BM12" s="32">
        <f t="shared" si="29"/>
        <v>65.716981473764477</v>
      </c>
      <c r="BN12" s="74"/>
      <c r="BO12" s="91">
        <v>287</v>
      </c>
      <c r="BP12" s="77">
        <f t="shared" si="2"/>
        <v>8.7500219463942236E-4</v>
      </c>
      <c r="BQ12" s="78">
        <f t="shared" si="3"/>
        <v>86.899851082026146</v>
      </c>
      <c r="BR12" s="102">
        <f t="shared" si="37"/>
        <v>17100.760984722823</v>
      </c>
      <c r="BS12" s="78">
        <f t="shared" si="38"/>
        <v>231.5558134892695</v>
      </c>
      <c r="BU12" s="21">
        <v>33</v>
      </c>
      <c r="BV12" s="31">
        <f t="shared" si="30"/>
        <v>1.0061000844286041E-4</v>
      </c>
      <c r="BW12" s="32">
        <f t="shared" si="4"/>
        <v>9.991968939745167</v>
      </c>
      <c r="BX12" s="32">
        <f t="shared" si="39"/>
        <v>11513.195017330183</v>
      </c>
      <c r="BY12" s="32">
        <f t="shared" si="40"/>
        <v>29.494619398674281</v>
      </c>
      <c r="CB12" s="23" t="s">
        <v>9</v>
      </c>
      <c r="CC12" s="21">
        <v>685</v>
      </c>
      <c r="CD12" s="21">
        <v>33</v>
      </c>
      <c r="CE12" s="31">
        <f t="shared" si="31"/>
        <v>0.95182481751824821</v>
      </c>
      <c r="CF12" s="31">
        <f t="shared" si="5"/>
        <v>0.99801209006639291</v>
      </c>
      <c r="CG12" s="32">
        <f t="shared" si="41"/>
        <v>99333.331995108718</v>
      </c>
      <c r="CH12" s="31">
        <f t="shared" si="32"/>
        <v>3.9797754486272508E-4</v>
      </c>
      <c r="CI12" s="32">
        <f t="shared" si="33"/>
        <v>197.46571741136765</v>
      </c>
      <c r="CJ12" s="32">
        <f t="shared" si="34"/>
        <v>496173.01267457131</v>
      </c>
      <c r="CK12" s="32">
        <f t="shared" si="42"/>
        <v>5105534.8312669881</v>
      </c>
      <c r="CL12" s="32">
        <f t="shared" si="35"/>
        <v>51.398002349487179</v>
      </c>
    </row>
    <row r="13" spans="1:92" x14ac:dyDescent="0.55000000000000004">
      <c r="A13" s="23" t="s">
        <v>10</v>
      </c>
      <c r="B13" s="21">
        <v>1935065.927191</v>
      </c>
      <c r="C13" s="21">
        <v>1962291.0236479999</v>
      </c>
      <c r="D13" s="64">
        <v>18</v>
      </c>
      <c r="E13" s="65">
        <v>50</v>
      </c>
      <c r="F13" s="65">
        <v>7</v>
      </c>
      <c r="G13" s="65">
        <v>636</v>
      </c>
      <c r="H13" s="65">
        <v>6</v>
      </c>
      <c r="I13" s="65">
        <v>17</v>
      </c>
      <c r="J13" s="65">
        <v>6</v>
      </c>
      <c r="K13" s="65">
        <v>44</v>
      </c>
      <c r="L13" s="65">
        <v>153</v>
      </c>
      <c r="M13" s="65">
        <v>39</v>
      </c>
      <c r="N13" s="65">
        <v>64</v>
      </c>
      <c r="O13" s="65">
        <v>2</v>
      </c>
      <c r="P13" s="65">
        <v>8</v>
      </c>
      <c r="Q13" s="65">
        <v>6</v>
      </c>
      <c r="R13" s="65">
        <v>2</v>
      </c>
      <c r="S13" s="65">
        <v>1</v>
      </c>
      <c r="T13" s="65">
        <v>12</v>
      </c>
      <c r="U13" s="65">
        <v>31</v>
      </c>
      <c r="V13" s="65">
        <v>181</v>
      </c>
      <c r="W13" s="66">
        <f t="shared" si="0"/>
        <v>1283</v>
      </c>
      <c r="X13" s="67">
        <f t="shared" si="6"/>
        <v>1948678.4754194999</v>
      </c>
      <c r="Y13" s="21">
        <f t="shared" si="7"/>
        <v>0.65839491541764139</v>
      </c>
      <c r="AA13" s="23" t="s">
        <v>10</v>
      </c>
      <c r="AB13" s="31">
        <f t="shared" si="8"/>
        <v>9.2370292108476578E-3</v>
      </c>
      <c r="AC13" s="31">
        <f t="shared" si="9"/>
        <v>2.5658414474576827E-2</v>
      </c>
      <c r="AD13" s="31">
        <f t="shared" si="10"/>
        <v>3.592178026440756E-3</v>
      </c>
      <c r="AE13" s="31">
        <f t="shared" si="11"/>
        <v>0.32637503211661723</v>
      </c>
      <c r="AF13" s="31">
        <f t="shared" si="12"/>
        <v>3.0790097369492193E-3</v>
      </c>
      <c r="AG13" s="31">
        <f t="shared" si="13"/>
        <v>8.7238609213561216E-3</v>
      </c>
      <c r="AH13" s="31">
        <f t="shared" si="14"/>
        <v>3.0790097369492193E-3</v>
      </c>
      <c r="AI13" s="31">
        <f t="shared" si="15"/>
        <v>2.2579404737627609E-2</v>
      </c>
      <c r="AJ13" s="31">
        <f t="shared" si="16"/>
        <v>7.8514748292205089E-2</v>
      </c>
      <c r="AK13" s="31">
        <f t="shared" si="17"/>
        <v>2.0013563290169924E-2</v>
      </c>
      <c r="AL13" s="31">
        <f t="shared" si="18"/>
        <v>3.2842770527458341E-2</v>
      </c>
      <c r="AM13" s="31">
        <f t="shared" si="19"/>
        <v>1.0263365789830732E-3</v>
      </c>
      <c r="AN13" s="31">
        <f t="shared" si="20"/>
        <v>4.1053463159322926E-3</v>
      </c>
      <c r="AO13" s="31">
        <f t="shared" si="21"/>
        <v>3.0790097369492193E-3</v>
      </c>
      <c r="AP13" s="31">
        <f t="shared" si="22"/>
        <v>1.0263365789830732E-3</v>
      </c>
      <c r="AQ13" s="31">
        <f t="shared" si="23"/>
        <v>5.1316828949153658E-4</v>
      </c>
      <c r="AR13" s="31">
        <f t="shared" si="24"/>
        <v>6.1580194738984385E-3</v>
      </c>
      <c r="AS13" s="31">
        <f t="shared" si="25"/>
        <v>1.5908216974237634E-2</v>
      </c>
      <c r="AT13" s="31">
        <f t="shared" si="26"/>
        <v>9.2883460397968118E-2</v>
      </c>
      <c r="AV13" s="23" t="s">
        <v>10</v>
      </c>
      <c r="AW13" s="67">
        <v>1948678.4754194999</v>
      </c>
      <c r="AX13" s="21">
        <v>1283</v>
      </c>
      <c r="AY13" s="31">
        <v>6.583949154176414E-4</v>
      </c>
      <c r="AZ13" s="33">
        <v>2.5</v>
      </c>
      <c r="BA13" s="31">
        <v>3.2865649329855379E-3</v>
      </c>
      <c r="BB13" s="31">
        <v>0.99671343506701449</v>
      </c>
      <c r="BC13" s="32">
        <v>99106.457375079844</v>
      </c>
      <c r="BD13" s="32">
        <v>325.71980744136334</v>
      </c>
      <c r="BE13" s="32">
        <v>494717.98735679587</v>
      </c>
      <c r="BF13" s="32">
        <v>4512466.6407118151</v>
      </c>
      <c r="BG13" s="32">
        <v>45.531509855446288</v>
      </c>
      <c r="BH13" s="69"/>
      <c r="BI13" s="34">
        <v>153</v>
      </c>
      <c r="BJ13" s="31">
        <f t="shared" si="27"/>
        <v>3.9192863191487708E-4</v>
      </c>
      <c r="BK13" s="32">
        <f t="shared" si="28"/>
        <v>38.842658252945121</v>
      </c>
      <c r="BL13" s="32">
        <f t="shared" si="36"/>
        <v>26650.189967364568</v>
      </c>
      <c r="BM13" s="32">
        <f t="shared" si="29"/>
        <v>104.55963972670961</v>
      </c>
      <c r="BN13" s="74"/>
      <c r="BO13" s="91">
        <v>636</v>
      </c>
      <c r="BP13" s="77">
        <f t="shared" si="2"/>
        <v>1.6291935287441948E-3</v>
      </c>
      <c r="BQ13" s="78">
        <f t="shared" si="3"/>
        <v>161.46359901224247</v>
      </c>
      <c r="BR13" s="102">
        <f t="shared" si="37"/>
        <v>17013.861133640796</v>
      </c>
      <c r="BS13" s="78">
        <f t="shared" si="38"/>
        <v>393.01941250151197</v>
      </c>
      <c r="BU13" s="21">
        <v>50</v>
      </c>
      <c r="BV13" s="31">
        <f t="shared" si="30"/>
        <v>1.2808125225976375E-4</v>
      </c>
      <c r="BW13" s="32">
        <f t="shared" si="4"/>
        <v>12.693679167629124</v>
      </c>
      <c r="BX13" s="32">
        <f t="shared" si="39"/>
        <v>11503.203048390438</v>
      </c>
      <c r="BY13" s="32">
        <f t="shared" si="40"/>
        <v>42.188298566303402</v>
      </c>
      <c r="CB13" s="23" t="s">
        <v>10</v>
      </c>
      <c r="CC13" s="21">
        <v>1283</v>
      </c>
      <c r="CD13" s="21">
        <v>50</v>
      </c>
      <c r="CE13" s="31">
        <f t="shared" si="31"/>
        <v>0.96102883865939204</v>
      </c>
      <c r="CF13" s="31">
        <f t="shared" si="5"/>
        <v>0.99684131381738694</v>
      </c>
      <c r="CG13" s="32">
        <f t="shared" si="41"/>
        <v>99135.866277697351</v>
      </c>
      <c r="CH13" s="31">
        <f t="shared" si="32"/>
        <v>6.3273650094306454E-4</v>
      </c>
      <c r="CI13" s="32">
        <f t="shared" si="33"/>
        <v>313.13909101273839</v>
      </c>
      <c r="CJ13" s="32">
        <f t="shared" si="34"/>
        <v>494896.51781747857</v>
      </c>
      <c r="CK13" s="32">
        <f t="shared" si="42"/>
        <v>4609361.8185924171</v>
      </c>
      <c r="CL13" s="32">
        <f t="shared" si="35"/>
        <v>46.495400622018749</v>
      </c>
    </row>
    <row r="14" spans="1:92" x14ac:dyDescent="0.55000000000000004">
      <c r="A14" s="23" t="s">
        <v>11</v>
      </c>
      <c r="B14" s="21">
        <v>1949746.1476699999</v>
      </c>
      <c r="C14" s="21">
        <v>1922352.435022</v>
      </c>
      <c r="D14" s="64">
        <v>35</v>
      </c>
      <c r="E14" s="65">
        <v>118</v>
      </c>
      <c r="F14" s="65">
        <v>14</v>
      </c>
      <c r="G14" s="64">
        <v>1116</v>
      </c>
      <c r="H14" s="65">
        <v>11</v>
      </c>
      <c r="I14" s="65">
        <v>39</v>
      </c>
      <c r="J14" s="65">
        <v>9</v>
      </c>
      <c r="K14" s="65">
        <v>65</v>
      </c>
      <c r="L14" s="65">
        <v>278</v>
      </c>
      <c r="M14" s="65">
        <v>79</v>
      </c>
      <c r="N14" s="65">
        <v>89</v>
      </c>
      <c r="O14" s="65">
        <v>2</v>
      </c>
      <c r="P14" s="65">
        <v>8</v>
      </c>
      <c r="Q14" s="65">
        <v>25</v>
      </c>
      <c r="R14" s="65">
        <v>0</v>
      </c>
      <c r="S14" s="65">
        <v>2</v>
      </c>
      <c r="T14" s="65">
        <v>19</v>
      </c>
      <c r="U14" s="65">
        <v>41</v>
      </c>
      <c r="V14" s="65">
        <v>183</v>
      </c>
      <c r="W14" s="66">
        <f t="shared" si="0"/>
        <v>2133</v>
      </c>
      <c r="X14" s="67">
        <f t="shared" si="6"/>
        <v>1936049.291346</v>
      </c>
      <c r="Y14" s="21">
        <f t="shared" si="7"/>
        <v>1.1017281479011694</v>
      </c>
      <c r="AA14" s="23" t="s">
        <v>11</v>
      </c>
      <c r="AB14" s="31">
        <f t="shared" si="8"/>
        <v>1.8078052122147643E-2</v>
      </c>
      <c r="AC14" s="31">
        <f t="shared" si="9"/>
        <v>6.0948861440383487E-2</v>
      </c>
      <c r="AD14" s="31">
        <f t="shared" si="10"/>
        <v>7.2312208488590577E-3</v>
      </c>
      <c r="AE14" s="31">
        <f t="shared" si="11"/>
        <v>0.57643160480905065</v>
      </c>
      <c r="AF14" s="31">
        <f t="shared" si="12"/>
        <v>5.6816735241035452E-3</v>
      </c>
      <c r="AG14" s="31">
        <f t="shared" si="13"/>
        <v>2.0144115221821662E-2</v>
      </c>
      <c r="AH14" s="31">
        <f t="shared" si="14"/>
        <v>4.6486419742665375E-3</v>
      </c>
      <c r="AI14" s="31">
        <f t="shared" si="15"/>
        <v>3.3573525369702768E-2</v>
      </c>
      <c r="AJ14" s="31">
        <f t="shared" si="16"/>
        <v>0.14359138542734415</v>
      </c>
      <c r="AK14" s="31">
        <f t="shared" si="17"/>
        <v>4.0804746218561824E-2</v>
      </c>
      <c r="AL14" s="31">
        <f t="shared" si="18"/>
        <v>4.5969903967746868E-2</v>
      </c>
      <c r="AM14" s="31">
        <f t="shared" si="19"/>
        <v>1.0330315498370082E-3</v>
      </c>
      <c r="AN14" s="31">
        <f t="shared" si="20"/>
        <v>4.1321261993480327E-3</v>
      </c>
      <c r="AO14" s="31">
        <f t="shared" si="21"/>
        <v>1.2912894372962603E-2</v>
      </c>
      <c r="AP14" s="34">
        <f t="shared" si="22"/>
        <v>0</v>
      </c>
      <c r="AQ14" s="31">
        <f t="shared" si="23"/>
        <v>1.0330315498370082E-3</v>
      </c>
      <c r="AR14" s="31">
        <f t="shared" si="24"/>
        <v>9.8137997234515779E-3</v>
      </c>
      <c r="AS14" s="31">
        <f t="shared" si="25"/>
        <v>2.1177146771658668E-2</v>
      </c>
      <c r="AT14" s="31">
        <f t="shared" si="26"/>
        <v>9.4522386810086262E-2</v>
      </c>
      <c r="AV14" s="23" t="s">
        <v>11</v>
      </c>
      <c r="AW14" s="67">
        <v>1936049.291346</v>
      </c>
      <c r="AX14" s="21">
        <v>2133</v>
      </c>
      <c r="AY14" s="31">
        <v>1.1017281479011693E-3</v>
      </c>
      <c r="AZ14" s="33">
        <v>2.5</v>
      </c>
      <c r="BA14" s="31">
        <v>5.4935098534151473E-3</v>
      </c>
      <c r="BB14" s="31">
        <v>0.99450649014658488</v>
      </c>
      <c r="BC14" s="32">
        <v>98780.737567638484</v>
      </c>
      <c r="BD14" s="32">
        <v>542.65295515543778</v>
      </c>
      <c r="BE14" s="32">
        <v>492547.05545030383</v>
      </c>
      <c r="BF14" s="32">
        <v>4017748.6533550192</v>
      </c>
      <c r="BG14" s="32">
        <v>40.673402044643893</v>
      </c>
      <c r="BH14" s="69"/>
      <c r="BI14" s="34">
        <v>278</v>
      </c>
      <c r="BJ14" s="31">
        <f t="shared" si="27"/>
        <v>7.159848754099441E-4</v>
      </c>
      <c r="BK14" s="32">
        <f t="shared" si="28"/>
        <v>70.725514080268027</v>
      </c>
      <c r="BL14" s="32">
        <f t="shared" si="36"/>
        <v>26611.347309111621</v>
      </c>
      <c r="BM14" s="32">
        <f t="shared" si="29"/>
        <v>175.28515380697763</v>
      </c>
      <c r="BN14" s="74"/>
      <c r="BO14" s="91">
        <v>1116</v>
      </c>
      <c r="BP14" s="77">
        <f t="shared" si="2"/>
        <v>2.8742414422931574E-3</v>
      </c>
      <c r="BQ14" s="78">
        <f t="shared" si="3"/>
        <v>283.91968961719112</v>
      </c>
      <c r="BR14" s="102">
        <f t="shared" si="37"/>
        <v>16852.397534628552</v>
      </c>
      <c r="BS14" s="78">
        <f t="shared" si="38"/>
        <v>676.93910211870309</v>
      </c>
      <c r="BU14" s="21">
        <v>118</v>
      </c>
      <c r="BV14" s="31">
        <f t="shared" si="30"/>
        <v>3.0390724927472452E-4</v>
      </c>
      <c r="BW14" s="32">
        <f t="shared" si="4"/>
        <v>30.020182235509456</v>
      </c>
      <c r="BX14" s="32">
        <f t="shared" si="39"/>
        <v>11490.509369222809</v>
      </c>
      <c r="BY14" s="32">
        <f t="shared" si="40"/>
        <v>72.208480801812854</v>
      </c>
      <c r="CB14" s="23" t="s">
        <v>11</v>
      </c>
      <c r="CC14" s="21">
        <v>2133</v>
      </c>
      <c r="CD14" s="21">
        <v>118</v>
      </c>
      <c r="CE14" s="31">
        <f t="shared" si="31"/>
        <v>0.94467885607126112</v>
      </c>
      <c r="CF14" s="31">
        <f t="shared" si="5"/>
        <v>0.99480960728871037</v>
      </c>
      <c r="CG14" s="32">
        <f t="shared" si="41"/>
        <v>98822.727186684613</v>
      </c>
      <c r="CH14" s="31">
        <f t="shared" si="32"/>
        <v>1.0407792864607858E-3</v>
      </c>
      <c r="CI14" s="32">
        <f t="shared" si="33"/>
        <v>512.92876289953108</v>
      </c>
      <c r="CJ14" s="32">
        <f t="shared" si="34"/>
        <v>492831.4481005547</v>
      </c>
      <c r="CK14" s="32">
        <f t="shared" si="42"/>
        <v>4114465.3007749384</v>
      </c>
      <c r="CL14" s="32">
        <f t="shared" si="35"/>
        <v>41.634808286583315</v>
      </c>
    </row>
    <row r="15" spans="1:92" x14ac:dyDescent="0.55000000000000004">
      <c r="A15" s="23" t="s">
        <v>12</v>
      </c>
      <c r="B15" s="21">
        <v>1852725.194443</v>
      </c>
      <c r="C15" s="21">
        <v>1837769.839562</v>
      </c>
      <c r="D15" s="64">
        <v>61</v>
      </c>
      <c r="E15" s="65">
        <v>185</v>
      </c>
      <c r="F15" s="65">
        <v>30</v>
      </c>
      <c r="G15" s="64">
        <v>1879</v>
      </c>
      <c r="H15" s="65">
        <v>13</v>
      </c>
      <c r="I15" s="65">
        <v>45</v>
      </c>
      <c r="J15" s="65">
        <v>18</v>
      </c>
      <c r="K15" s="65">
        <v>129</v>
      </c>
      <c r="L15" s="65">
        <v>419</v>
      </c>
      <c r="M15" s="65">
        <v>144</v>
      </c>
      <c r="N15" s="65">
        <v>175</v>
      </c>
      <c r="O15" s="65">
        <v>3</v>
      </c>
      <c r="P15" s="65">
        <v>24</v>
      </c>
      <c r="Q15" s="65">
        <v>33</v>
      </c>
      <c r="R15" s="65">
        <v>0</v>
      </c>
      <c r="S15" s="65">
        <v>0</v>
      </c>
      <c r="T15" s="65">
        <v>23</v>
      </c>
      <c r="U15" s="65">
        <v>60</v>
      </c>
      <c r="V15" s="65">
        <v>239</v>
      </c>
      <c r="W15" s="66">
        <f t="shared" si="0"/>
        <v>3480</v>
      </c>
      <c r="X15" s="67">
        <f t="shared" si="6"/>
        <v>1845247.5170025001</v>
      </c>
      <c r="Y15" s="21">
        <f t="shared" si="7"/>
        <v>1.8859258543553346</v>
      </c>
      <c r="AA15" s="23" t="s">
        <v>12</v>
      </c>
      <c r="AB15" s="31">
        <f t="shared" si="8"/>
        <v>3.3057895722895234E-2</v>
      </c>
      <c r="AC15" s="31">
        <f t="shared" si="9"/>
        <v>0.10025755260222326</v>
      </c>
      <c r="AD15" s="31">
        <f t="shared" si="10"/>
        <v>1.6257981503063231E-2</v>
      </c>
      <c r="AE15" s="31">
        <f t="shared" si="11"/>
        <v>1.0182915748085271</v>
      </c>
      <c r="AF15" s="31">
        <f t="shared" si="12"/>
        <v>7.0451253179940661E-3</v>
      </c>
      <c r="AG15" s="31">
        <f t="shared" si="13"/>
        <v>2.4386972254594845E-2</v>
      </c>
      <c r="AH15" s="31">
        <f t="shared" si="14"/>
        <v>9.754788901837938E-3</v>
      </c>
      <c r="AI15" s="31">
        <f t="shared" si="15"/>
        <v>6.9909320463171887E-2</v>
      </c>
      <c r="AJ15" s="31">
        <f t="shared" si="16"/>
        <v>0.22706980832611645</v>
      </c>
      <c r="AK15" s="31">
        <f t="shared" si="17"/>
        <v>7.8038311214703504E-2</v>
      </c>
      <c r="AL15" s="31">
        <f t="shared" si="18"/>
        <v>9.4838225434535503E-2</v>
      </c>
      <c r="AM15" s="31">
        <f t="shared" si="19"/>
        <v>1.6257981503063231E-3</v>
      </c>
      <c r="AN15" s="31">
        <f t="shared" si="20"/>
        <v>1.3006385202450585E-2</v>
      </c>
      <c r="AO15" s="31">
        <f t="shared" si="21"/>
        <v>1.7883779653369552E-2</v>
      </c>
      <c r="AP15" s="34">
        <f t="shared" si="22"/>
        <v>0</v>
      </c>
      <c r="AQ15" s="34">
        <f t="shared" si="23"/>
        <v>0</v>
      </c>
      <c r="AR15" s="31">
        <f t="shared" si="24"/>
        <v>1.246445248568181E-2</v>
      </c>
      <c r="AS15" s="31">
        <f t="shared" si="25"/>
        <v>3.2515963006126462E-2</v>
      </c>
      <c r="AT15" s="31">
        <f t="shared" si="26"/>
        <v>0.12952191930773707</v>
      </c>
      <c r="AV15" s="23" t="s">
        <v>12</v>
      </c>
      <c r="AW15" s="67">
        <v>1845247.5170025001</v>
      </c>
      <c r="AX15" s="21">
        <v>3480</v>
      </c>
      <c r="AY15" s="31">
        <v>1.8859258543553346E-3</v>
      </c>
      <c r="AZ15" s="33">
        <v>2.5</v>
      </c>
      <c r="BA15" s="31">
        <v>9.3853789497410738E-3</v>
      </c>
      <c r="BB15" s="31">
        <v>0.99061462105025888</v>
      </c>
      <c r="BC15" s="32">
        <v>98238.084612483042</v>
      </c>
      <c r="BD15" s="32">
        <v>922.0016513848808</v>
      </c>
      <c r="BE15" s="32">
        <v>488885.41893395304</v>
      </c>
      <c r="BF15" s="32">
        <v>3525201.5979047152</v>
      </c>
      <c r="BG15" s="32">
        <v>35.884266390274981</v>
      </c>
      <c r="BH15" s="69"/>
      <c r="BI15" s="34">
        <v>419</v>
      </c>
      <c r="BJ15" s="31">
        <f t="shared" si="27"/>
        <v>1.1300212011326179E-3</v>
      </c>
      <c r="BK15" s="32">
        <f t="shared" si="28"/>
        <v>111.01111837076583</v>
      </c>
      <c r="BL15" s="32">
        <f t="shared" si="36"/>
        <v>26540.621795031355</v>
      </c>
      <c r="BM15" s="32">
        <f t="shared" si="29"/>
        <v>286.29627217774345</v>
      </c>
      <c r="BN15" s="74"/>
      <c r="BO15" s="91">
        <v>1879</v>
      </c>
      <c r="BP15" s="77">
        <f t="shared" si="2"/>
        <v>5.0675652432653675E-3</v>
      </c>
      <c r="BQ15" s="78">
        <f t="shared" si="3"/>
        <v>497.82790314718136</v>
      </c>
      <c r="BR15" s="102">
        <f t="shared" si="37"/>
        <v>16568.477845011359</v>
      </c>
      <c r="BS15" s="78">
        <f t="shared" si="38"/>
        <v>1174.7670052658846</v>
      </c>
      <c r="BU15" s="21">
        <v>185</v>
      </c>
      <c r="BV15" s="31">
        <f t="shared" si="30"/>
        <v>4.9893537520175242E-4</v>
      </c>
      <c r="BW15" s="32">
        <f t="shared" si="4"/>
        <v>49.014455605230729</v>
      </c>
      <c r="BX15" s="32">
        <f t="shared" si="39"/>
        <v>11460.489186987299</v>
      </c>
      <c r="BY15" s="32">
        <f t="shared" si="40"/>
        <v>121.22293640704359</v>
      </c>
      <c r="CB15" s="23" t="s">
        <v>12</v>
      </c>
      <c r="CC15" s="21">
        <v>3480</v>
      </c>
      <c r="CD15" s="21">
        <v>185</v>
      </c>
      <c r="CE15" s="31">
        <f t="shared" si="31"/>
        <v>0.94683908045977017</v>
      </c>
      <c r="CF15" s="31">
        <f t="shared" si="5"/>
        <v>0.99111133220542647</v>
      </c>
      <c r="CG15" s="32">
        <f t="shared" si="41"/>
        <v>98309.798423785076</v>
      </c>
      <c r="CH15" s="31">
        <f t="shared" si="32"/>
        <v>1.7856683017531112E-3</v>
      </c>
      <c r="CI15" s="32">
        <f t="shared" si="33"/>
        <v>873.8431391405145</v>
      </c>
      <c r="CJ15" s="32">
        <f t="shared" si="34"/>
        <v>489364.75955954619</v>
      </c>
      <c r="CK15" s="32">
        <f t="shared" si="42"/>
        <v>3621633.8526743837</v>
      </c>
      <c r="CL15" s="32">
        <f t="shared" si="35"/>
        <v>36.838991745894631</v>
      </c>
    </row>
    <row r="16" spans="1:92" x14ac:dyDescent="0.55000000000000004">
      <c r="A16" s="23" t="s">
        <v>13</v>
      </c>
      <c r="B16" s="21">
        <v>1740774.0473090003</v>
      </c>
      <c r="C16" s="21">
        <v>1710032.4818490001</v>
      </c>
      <c r="D16" s="64">
        <v>72</v>
      </c>
      <c r="E16" s="65">
        <v>371</v>
      </c>
      <c r="F16" s="65">
        <v>52</v>
      </c>
      <c r="G16" s="64">
        <v>2909</v>
      </c>
      <c r="H16" s="65">
        <v>20</v>
      </c>
      <c r="I16" s="65">
        <v>92</v>
      </c>
      <c r="J16" s="65">
        <v>21</v>
      </c>
      <c r="K16" s="65">
        <v>182</v>
      </c>
      <c r="L16" s="65">
        <v>656</v>
      </c>
      <c r="M16" s="65">
        <v>227</v>
      </c>
      <c r="N16" s="65">
        <v>266</v>
      </c>
      <c r="O16" s="65">
        <v>4</v>
      </c>
      <c r="P16" s="65">
        <v>35</v>
      </c>
      <c r="Q16" s="65">
        <v>46</v>
      </c>
      <c r="R16" s="65">
        <v>0</v>
      </c>
      <c r="S16" s="65">
        <v>0</v>
      </c>
      <c r="T16" s="65">
        <v>37</v>
      </c>
      <c r="U16" s="65">
        <v>66</v>
      </c>
      <c r="V16" s="65">
        <v>244</v>
      </c>
      <c r="W16" s="66">
        <f t="shared" si="0"/>
        <v>5300</v>
      </c>
      <c r="X16" s="67">
        <f t="shared" si="6"/>
        <v>1725403.2645790002</v>
      </c>
      <c r="Y16" s="21">
        <f t="shared" si="7"/>
        <v>3.0717456659578097</v>
      </c>
      <c r="AA16" s="23" t="s">
        <v>13</v>
      </c>
      <c r="AB16" s="31">
        <f t="shared" si="8"/>
        <v>4.172937508470987E-2</v>
      </c>
      <c r="AC16" s="31">
        <f t="shared" si="9"/>
        <v>0.21502219661704669</v>
      </c>
      <c r="AD16" s="31">
        <f t="shared" si="10"/>
        <v>3.0137882005623794E-2</v>
      </c>
      <c r="AE16" s="31">
        <f t="shared" si="11"/>
        <v>1.6859826683530696</v>
      </c>
      <c r="AF16" s="31">
        <f t="shared" si="12"/>
        <v>1.1591493079086074E-2</v>
      </c>
      <c r="AG16" s="31">
        <f t="shared" si="13"/>
        <v>5.3320868163795943E-2</v>
      </c>
      <c r="AH16" s="31">
        <f t="shared" si="14"/>
        <v>1.2171067733040379E-2</v>
      </c>
      <c r="AI16" s="31">
        <f t="shared" si="15"/>
        <v>0.10548258701968329</v>
      </c>
      <c r="AJ16" s="31">
        <f t="shared" si="16"/>
        <v>0.38020097299402322</v>
      </c>
      <c r="AK16" s="31">
        <f t="shared" si="17"/>
        <v>0.13156344644762694</v>
      </c>
      <c r="AL16" s="31">
        <f t="shared" si="18"/>
        <v>0.15416685795184479</v>
      </c>
      <c r="AM16" s="31">
        <f t="shared" si="19"/>
        <v>2.3182986158172148E-3</v>
      </c>
      <c r="AN16" s="31">
        <f t="shared" si="20"/>
        <v>2.0285112888400632E-2</v>
      </c>
      <c r="AO16" s="31">
        <f t="shared" si="21"/>
        <v>2.6660434081897971E-2</v>
      </c>
      <c r="AP16" s="34">
        <f t="shared" si="22"/>
        <v>0</v>
      </c>
      <c r="AQ16" s="34">
        <f t="shared" si="23"/>
        <v>0</v>
      </c>
      <c r="AR16" s="31">
        <f t="shared" si="24"/>
        <v>2.1444262196309238E-2</v>
      </c>
      <c r="AS16" s="31">
        <f t="shared" si="25"/>
        <v>3.8251927160984044E-2</v>
      </c>
      <c r="AT16" s="31">
        <f t="shared" si="26"/>
        <v>0.14141621556485012</v>
      </c>
      <c r="AV16" s="23" t="s">
        <v>13</v>
      </c>
      <c r="AW16" s="67">
        <v>1725403.2645790002</v>
      </c>
      <c r="AX16" s="21">
        <v>5300</v>
      </c>
      <c r="AY16" s="31">
        <v>3.0717456659578096E-3</v>
      </c>
      <c r="AZ16" s="33">
        <v>2.5</v>
      </c>
      <c r="BA16" s="31">
        <v>1.5241681903963035E-2</v>
      </c>
      <c r="BB16" s="31">
        <v>0.98475831809603698</v>
      </c>
      <c r="BC16" s="32">
        <v>97316.08296109816</v>
      </c>
      <c r="BD16" s="32">
        <v>1483.2607806327353</v>
      </c>
      <c r="BE16" s="32">
        <v>482872.26285390899</v>
      </c>
      <c r="BF16" s="32">
        <v>3036316.1789707621</v>
      </c>
      <c r="BG16" s="32">
        <v>31.200558906429897</v>
      </c>
      <c r="BH16" s="69"/>
      <c r="BI16" s="34">
        <v>656</v>
      </c>
      <c r="BJ16" s="31">
        <f t="shared" si="27"/>
        <v>1.8865176092452357E-3</v>
      </c>
      <c r="BK16" s="32">
        <f t="shared" si="28"/>
        <v>183.58850416888191</v>
      </c>
      <c r="BL16" s="32">
        <f t="shared" si="36"/>
        <v>26429.610676660588</v>
      </c>
      <c r="BM16" s="32">
        <f t="shared" si="29"/>
        <v>469.88477634662536</v>
      </c>
      <c r="BN16" s="74"/>
      <c r="BO16" s="91">
        <v>2909</v>
      </c>
      <c r="BP16" s="77">
        <f t="shared" si="2"/>
        <v>8.365670312948768E-3</v>
      </c>
      <c r="BQ16" s="78">
        <f t="shared" si="3"/>
        <v>814.11426620011832</v>
      </c>
      <c r="BR16" s="102">
        <f t="shared" si="37"/>
        <v>16070.649941864178</v>
      </c>
      <c r="BS16" s="78">
        <f t="shared" si="38"/>
        <v>1988.881271466003</v>
      </c>
      <c r="BU16" s="21">
        <v>371</v>
      </c>
      <c r="BV16" s="31">
        <f t="shared" si="30"/>
        <v>1.0669177332774124E-3</v>
      </c>
      <c r="BW16" s="32">
        <f t="shared" si="4"/>
        <v>103.82825464429146</v>
      </c>
      <c r="BX16" s="32">
        <f t="shared" si="39"/>
        <v>11411.474731382068</v>
      </c>
      <c r="BY16" s="32">
        <f t="shared" si="40"/>
        <v>225.05119105133505</v>
      </c>
      <c r="CB16" s="23" t="s">
        <v>13</v>
      </c>
      <c r="CC16" s="21">
        <v>5300</v>
      </c>
      <c r="CD16" s="21">
        <v>371</v>
      </c>
      <c r="CE16" s="31">
        <f t="shared" si="31"/>
        <v>0.93</v>
      </c>
      <c r="CF16" s="31">
        <f t="shared" si="5"/>
        <v>0.98581763274172673</v>
      </c>
      <c r="CG16" s="32">
        <f t="shared" si="41"/>
        <v>97435.955284644559</v>
      </c>
      <c r="CH16" s="31">
        <f t="shared" si="32"/>
        <v>2.8567234693407631E-3</v>
      </c>
      <c r="CI16" s="32">
        <f t="shared" si="33"/>
        <v>1381.872502007521</v>
      </c>
      <c r="CJ16" s="32">
        <f t="shared" si="34"/>
        <v>483726.37983277091</v>
      </c>
      <c r="CK16" s="32">
        <f t="shared" si="42"/>
        <v>3132269.0931148375</v>
      </c>
      <c r="CL16" s="32">
        <f t="shared" si="35"/>
        <v>32.146953185447636</v>
      </c>
    </row>
    <row r="17" spans="1:90" x14ac:dyDescent="0.55000000000000004">
      <c r="A17" s="23" t="s">
        <v>14</v>
      </c>
      <c r="B17" s="21">
        <v>1552291.1553739998</v>
      </c>
      <c r="C17" s="21">
        <v>1502138.5870239998</v>
      </c>
      <c r="D17" s="64">
        <v>70</v>
      </c>
      <c r="E17" s="65">
        <v>561</v>
      </c>
      <c r="F17" s="65">
        <v>79</v>
      </c>
      <c r="G17" s="64">
        <v>3758</v>
      </c>
      <c r="H17" s="65">
        <v>24</v>
      </c>
      <c r="I17" s="65">
        <v>151</v>
      </c>
      <c r="J17" s="65">
        <v>42</v>
      </c>
      <c r="K17" s="65">
        <v>303</v>
      </c>
      <c r="L17" s="64">
        <v>1026</v>
      </c>
      <c r="M17" s="65">
        <v>321</v>
      </c>
      <c r="N17" s="65">
        <v>331</v>
      </c>
      <c r="O17" s="65">
        <v>9</v>
      </c>
      <c r="P17" s="65">
        <v>36</v>
      </c>
      <c r="Q17" s="65">
        <v>66</v>
      </c>
      <c r="R17" s="65">
        <v>0</v>
      </c>
      <c r="S17" s="65">
        <v>0</v>
      </c>
      <c r="T17" s="65">
        <v>46</v>
      </c>
      <c r="U17" s="65">
        <v>69</v>
      </c>
      <c r="V17" s="65">
        <v>215</v>
      </c>
      <c r="W17" s="66">
        <f t="shared" si="0"/>
        <v>7107</v>
      </c>
      <c r="X17" s="67">
        <f t="shared" si="6"/>
        <v>1527214.8711989997</v>
      </c>
      <c r="Y17" s="21">
        <f t="shared" si="7"/>
        <v>4.6535691434305981</v>
      </c>
      <c r="AA17" s="23" t="s">
        <v>14</v>
      </c>
      <c r="AB17" s="31">
        <f t="shared" si="8"/>
        <v>4.5835069655289412E-2</v>
      </c>
      <c r="AC17" s="31">
        <f t="shared" si="9"/>
        <v>0.36733534395167661</v>
      </c>
      <c r="AD17" s="31">
        <f t="shared" si="10"/>
        <v>5.1728150039540906E-2</v>
      </c>
      <c r="AE17" s="31">
        <f t="shared" si="11"/>
        <v>2.4606884537796803</v>
      </c>
      <c r="AF17" s="31">
        <f t="shared" si="12"/>
        <v>1.5714881024670654E-2</v>
      </c>
      <c r="AG17" s="31">
        <f t="shared" si="13"/>
        <v>9.8872793113552876E-2</v>
      </c>
      <c r="AH17" s="31">
        <f t="shared" si="14"/>
        <v>2.7501041793173649E-2</v>
      </c>
      <c r="AI17" s="31">
        <f t="shared" si="15"/>
        <v>0.19840037293646703</v>
      </c>
      <c r="AJ17" s="31">
        <f t="shared" si="16"/>
        <v>0.67181116380467054</v>
      </c>
      <c r="AK17" s="31">
        <f t="shared" si="17"/>
        <v>0.21018653370497004</v>
      </c>
      <c r="AL17" s="31">
        <f t="shared" si="18"/>
        <v>0.2167344007985828</v>
      </c>
      <c r="AM17" s="31">
        <f t="shared" si="19"/>
        <v>5.8930803842514963E-3</v>
      </c>
      <c r="AN17" s="31">
        <f t="shared" si="20"/>
        <v>2.3572321537005985E-2</v>
      </c>
      <c r="AO17" s="31">
        <f t="shared" si="21"/>
        <v>4.3215922817844303E-2</v>
      </c>
      <c r="AP17" s="34">
        <f t="shared" si="22"/>
        <v>0</v>
      </c>
      <c r="AQ17" s="34">
        <f t="shared" si="23"/>
        <v>0</v>
      </c>
      <c r="AR17" s="31">
        <f t="shared" si="24"/>
        <v>3.0120188630618758E-2</v>
      </c>
      <c r="AS17" s="31">
        <f t="shared" si="25"/>
        <v>4.5180282945928137E-2</v>
      </c>
      <c r="AT17" s="31">
        <f t="shared" si="26"/>
        <v>0.14077914251267462</v>
      </c>
      <c r="AV17" s="23" t="s">
        <v>14</v>
      </c>
      <c r="AW17" s="67">
        <v>1527214.8711989997</v>
      </c>
      <c r="AX17" s="21">
        <v>7107</v>
      </c>
      <c r="AY17" s="31">
        <v>4.6535691434305979E-3</v>
      </c>
      <c r="AZ17" s="33">
        <v>2.5</v>
      </c>
      <c r="BA17" s="31">
        <v>2.3000262438219728E-2</v>
      </c>
      <c r="BB17" s="31">
        <v>0.97699973756178027</v>
      </c>
      <c r="BC17" s="32">
        <v>95832.822180465431</v>
      </c>
      <c r="BD17" s="32">
        <v>2204.1800603459496</v>
      </c>
      <c r="BE17" s="32">
        <v>473653.66075146227</v>
      </c>
      <c r="BF17" s="32">
        <v>2553443.9161168532</v>
      </c>
      <c r="BG17" s="32">
        <v>26.644774285248456</v>
      </c>
      <c r="BH17" s="69"/>
      <c r="BI17" s="34">
        <v>1026</v>
      </c>
      <c r="BJ17" s="31">
        <f t="shared" si="27"/>
        <v>3.3204262363322697E-3</v>
      </c>
      <c r="BK17" s="32">
        <f t="shared" si="28"/>
        <v>318.20581706978248</v>
      </c>
      <c r="BL17" s="32">
        <f t="shared" si="36"/>
        <v>26246.022172491706</v>
      </c>
      <c r="BM17" s="32">
        <f t="shared" si="29"/>
        <v>788.09059341640784</v>
      </c>
      <c r="BN17" s="74"/>
      <c r="BO17" s="91">
        <v>3758</v>
      </c>
      <c r="BP17" s="77">
        <f t="shared" si="2"/>
        <v>1.2161951068359328E-2</v>
      </c>
      <c r="BQ17" s="78">
        <f t="shared" si="3"/>
        <v>1165.5140941016011</v>
      </c>
      <c r="BR17" s="102">
        <f t="shared" si="37"/>
        <v>15256.535675664059</v>
      </c>
      <c r="BS17" s="78">
        <f t="shared" si="38"/>
        <v>3154.3953655676041</v>
      </c>
      <c r="BU17" s="21">
        <v>561</v>
      </c>
      <c r="BV17" s="31">
        <f t="shared" si="30"/>
        <v>1.8155546964740775E-3</v>
      </c>
      <c r="BW17" s="32">
        <f t="shared" si="4"/>
        <v>173.98973038610916</v>
      </c>
      <c r="BX17" s="32">
        <f t="shared" si="39"/>
        <v>11307.646476737777</v>
      </c>
      <c r="BY17" s="83">
        <f t="shared" si="40"/>
        <v>399.04092143744424</v>
      </c>
      <c r="CB17" s="23" t="s">
        <v>14</v>
      </c>
      <c r="CC17" s="21">
        <v>7107</v>
      </c>
      <c r="CD17" s="21">
        <v>561</v>
      </c>
      <c r="CE17" s="31">
        <f t="shared" si="31"/>
        <v>0.92106373997467283</v>
      </c>
      <c r="CF17" s="31">
        <f t="shared" si="5"/>
        <v>0.97879590025381691</v>
      </c>
      <c r="CG17" s="32">
        <f t="shared" si="41"/>
        <v>96054.082782637037</v>
      </c>
      <c r="CH17" s="31">
        <f t="shared" si="32"/>
        <v>4.2862337994789218E-3</v>
      </c>
      <c r="CI17" s="32">
        <f t="shared" si="33"/>
        <v>2036.7403523511637</v>
      </c>
      <c r="CJ17" s="32">
        <f t="shared" si="34"/>
        <v>475181.81406687858</v>
      </c>
      <c r="CK17" s="32">
        <f t="shared" si="42"/>
        <v>2648542.7132820664</v>
      </c>
      <c r="CL17" s="32">
        <f t="shared" si="35"/>
        <v>27.573452752399017</v>
      </c>
    </row>
    <row r="18" spans="1:90" x14ac:dyDescent="0.55000000000000004">
      <c r="A18" s="23" t="s">
        <v>15</v>
      </c>
      <c r="B18" s="21">
        <v>1303095.715569</v>
      </c>
      <c r="C18" s="21">
        <v>1271581.69098</v>
      </c>
      <c r="D18" s="64">
        <v>96</v>
      </c>
      <c r="E18" s="65">
        <v>859</v>
      </c>
      <c r="F18" s="65">
        <v>107</v>
      </c>
      <c r="G18" s="64">
        <v>4126</v>
      </c>
      <c r="H18" s="65">
        <v>40</v>
      </c>
      <c r="I18" s="65">
        <v>205</v>
      </c>
      <c r="J18" s="65">
        <v>107</v>
      </c>
      <c r="K18" s="65">
        <v>452</v>
      </c>
      <c r="L18" s="64">
        <v>1372</v>
      </c>
      <c r="M18" s="65">
        <v>531</v>
      </c>
      <c r="N18" s="65">
        <v>391</v>
      </c>
      <c r="O18" s="65">
        <v>19</v>
      </c>
      <c r="P18" s="65">
        <v>68</v>
      </c>
      <c r="Q18" s="65">
        <v>122</v>
      </c>
      <c r="R18" s="65">
        <v>0</v>
      </c>
      <c r="S18" s="65">
        <v>1</v>
      </c>
      <c r="T18" s="65">
        <v>17</v>
      </c>
      <c r="U18" s="65">
        <v>90</v>
      </c>
      <c r="V18" s="65">
        <v>213</v>
      </c>
      <c r="W18" s="66">
        <f t="shared" si="0"/>
        <v>8816</v>
      </c>
      <c r="X18" s="67">
        <f t="shared" si="6"/>
        <v>1287338.7032745001</v>
      </c>
      <c r="Y18" s="21">
        <f t="shared" si="7"/>
        <v>6.8482365810764865</v>
      </c>
      <c r="AA18" s="23" t="s">
        <v>15</v>
      </c>
      <c r="AB18" s="31">
        <f t="shared" si="8"/>
        <v>7.4572449158727627E-2</v>
      </c>
      <c r="AC18" s="31">
        <f t="shared" si="9"/>
        <v>0.66726806070153155</v>
      </c>
      <c r="AD18" s="31">
        <f t="shared" si="10"/>
        <v>8.3117208958165156E-2</v>
      </c>
      <c r="AE18" s="31">
        <f t="shared" si="11"/>
        <v>3.2050617211344807</v>
      </c>
      <c r="AF18" s="31">
        <f t="shared" si="12"/>
        <v>3.1071853816136509E-2</v>
      </c>
      <c r="AG18" s="31">
        <f t="shared" si="13"/>
        <v>0.1592432508076996</v>
      </c>
      <c r="AH18" s="31">
        <f t="shared" si="14"/>
        <v>8.3117208958165156E-2</v>
      </c>
      <c r="AI18" s="31">
        <f t="shared" si="15"/>
        <v>0.35111194812234253</v>
      </c>
      <c r="AJ18" s="31">
        <f t="shared" si="16"/>
        <v>1.0657645858934823</v>
      </c>
      <c r="AK18" s="31">
        <f t="shared" si="17"/>
        <v>0.41247885940921214</v>
      </c>
      <c r="AL18" s="31">
        <f t="shared" si="18"/>
        <v>0.3037273710527344</v>
      </c>
      <c r="AM18" s="31">
        <f t="shared" si="19"/>
        <v>1.4759130562664842E-2</v>
      </c>
      <c r="AN18" s="31">
        <f t="shared" si="20"/>
        <v>5.2822151487432065E-2</v>
      </c>
      <c r="AO18" s="31">
        <f t="shared" si="21"/>
        <v>9.4769154139216355E-2</v>
      </c>
      <c r="AP18" s="34">
        <f t="shared" si="22"/>
        <v>0</v>
      </c>
      <c r="AQ18" s="31">
        <f t="shared" si="23"/>
        <v>7.7679634540341275E-4</v>
      </c>
      <c r="AR18" s="31">
        <f t="shared" si="24"/>
        <v>1.3205537871858016E-2</v>
      </c>
      <c r="AS18" s="31">
        <f t="shared" si="25"/>
        <v>6.9911671086307151E-2</v>
      </c>
      <c r="AT18" s="31">
        <f t="shared" si="26"/>
        <v>0.16545762157092692</v>
      </c>
      <c r="AV18" s="23" t="s">
        <v>15</v>
      </c>
      <c r="AW18" s="67">
        <v>1287338.7032745001</v>
      </c>
      <c r="AX18" s="21">
        <v>8816</v>
      </c>
      <c r="AY18" s="31">
        <v>6.8482365810764861E-3</v>
      </c>
      <c r="AZ18" s="33">
        <v>2.5</v>
      </c>
      <c r="BA18" s="31">
        <v>3.3664821254358678E-2</v>
      </c>
      <c r="BB18" s="31">
        <v>0.96633517874564134</v>
      </c>
      <c r="BC18" s="32">
        <v>93628.642120119475</v>
      </c>
      <c r="BD18" s="32">
        <v>3151.9915012621404</v>
      </c>
      <c r="BE18" s="32">
        <v>460263.23184744205</v>
      </c>
      <c r="BF18" s="32">
        <v>2079790.255365391</v>
      </c>
      <c r="BG18" s="32">
        <v>22.213184003001508</v>
      </c>
      <c r="BH18" s="69"/>
      <c r="BI18" s="34">
        <v>1372</v>
      </c>
      <c r="BJ18" s="31">
        <f t="shared" si="27"/>
        <v>5.2391259937590862E-3</v>
      </c>
      <c r="BK18" s="32">
        <f t="shared" si="28"/>
        <v>490.53225269188476</v>
      </c>
      <c r="BL18" s="32">
        <f t="shared" si="36"/>
        <v>25927.816355421925</v>
      </c>
      <c r="BM18" s="32">
        <f t="shared" si="29"/>
        <v>1278.6228461082926</v>
      </c>
      <c r="BN18" s="74"/>
      <c r="BO18" s="91">
        <v>4126</v>
      </c>
      <c r="BP18" s="77">
        <f t="shared" si="2"/>
        <v>1.5755564030794453E-2</v>
      </c>
      <c r="BQ18" s="78">
        <f t="shared" si="3"/>
        <v>1475.172066039881</v>
      </c>
      <c r="BR18" s="102">
        <f t="shared" si="37"/>
        <v>14091.021581562458</v>
      </c>
      <c r="BS18" s="78">
        <f t="shared" si="38"/>
        <v>4629.5674316074856</v>
      </c>
      <c r="BU18" s="21">
        <v>859</v>
      </c>
      <c r="BV18" s="31">
        <f t="shared" si="30"/>
        <v>3.2801816535270082E-3</v>
      </c>
      <c r="BW18" s="32">
        <f t="shared" si="4"/>
        <v>307.11895412706201</v>
      </c>
      <c r="BX18" s="32">
        <f t="shared" si="39"/>
        <v>11133.656746351668</v>
      </c>
      <c r="BY18" s="32">
        <f t="shared" si="40"/>
        <v>706.15987556450625</v>
      </c>
      <c r="CB18" s="23" t="s">
        <v>15</v>
      </c>
      <c r="CC18" s="21">
        <v>8816</v>
      </c>
      <c r="CD18" s="21">
        <v>859</v>
      </c>
      <c r="CE18" s="31">
        <f t="shared" si="31"/>
        <v>0.90256352087114333</v>
      </c>
      <c r="CF18" s="31">
        <f t="shared" si="5"/>
        <v>0.96956490206546486</v>
      </c>
      <c r="CG18" s="32">
        <f t="shared" si="41"/>
        <v>94017.342430285877</v>
      </c>
      <c r="CH18" s="31">
        <f t="shared" si="32"/>
        <v>6.1809685203749543E-3</v>
      </c>
      <c r="CI18" s="32">
        <f t="shared" si="33"/>
        <v>2861.4270244104764</v>
      </c>
      <c r="CJ18" s="32">
        <f t="shared" si="34"/>
        <v>462941.53011426347</v>
      </c>
      <c r="CK18" s="32">
        <f t="shared" si="42"/>
        <v>2173360.8992151879</v>
      </c>
      <c r="CL18" s="32">
        <f t="shared" si="35"/>
        <v>23.116595758136231</v>
      </c>
    </row>
    <row r="19" spans="1:90" x14ac:dyDescent="0.55000000000000004">
      <c r="A19" s="23" t="s">
        <v>16</v>
      </c>
      <c r="B19" s="21">
        <v>1190297.3994339998</v>
      </c>
      <c r="C19" s="21">
        <v>1195758.0264910001</v>
      </c>
      <c r="D19" s="64">
        <v>157</v>
      </c>
      <c r="E19" s="64">
        <v>1562</v>
      </c>
      <c r="F19" s="65">
        <v>250</v>
      </c>
      <c r="G19" s="64">
        <v>4964</v>
      </c>
      <c r="H19" s="65">
        <v>36</v>
      </c>
      <c r="I19" s="65">
        <v>401</v>
      </c>
      <c r="J19" s="65">
        <v>292</v>
      </c>
      <c r="K19" s="65">
        <v>789</v>
      </c>
      <c r="L19" s="64">
        <v>2512</v>
      </c>
      <c r="M19" s="65">
        <v>818</v>
      </c>
      <c r="N19" s="65">
        <v>588</v>
      </c>
      <c r="O19" s="65">
        <v>36</v>
      </c>
      <c r="P19" s="65">
        <v>96</v>
      </c>
      <c r="Q19" s="65">
        <v>287</v>
      </c>
      <c r="R19" s="65">
        <v>0</v>
      </c>
      <c r="S19" s="65">
        <v>0</v>
      </c>
      <c r="T19" s="65">
        <v>17</v>
      </c>
      <c r="U19" s="65">
        <v>166</v>
      </c>
      <c r="V19" s="65">
        <v>303</v>
      </c>
      <c r="W19" s="66">
        <f t="shared" si="0"/>
        <v>13274</v>
      </c>
      <c r="X19" s="67">
        <f t="shared" si="6"/>
        <v>1193027.7129624998</v>
      </c>
      <c r="Y19" s="21">
        <f t="shared" si="7"/>
        <v>11.126313207794896</v>
      </c>
      <c r="AA19" s="23" t="s">
        <v>16</v>
      </c>
      <c r="AB19" s="31">
        <f t="shared" si="8"/>
        <v>0.13159794889436482</v>
      </c>
      <c r="AC19" s="31">
        <f t="shared" si="9"/>
        <v>1.3092738609745087</v>
      </c>
      <c r="AD19" s="31">
        <f t="shared" si="10"/>
        <v>0.20955087403561279</v>
      </c>
      <c r="AE19" s="31">
        <f t="shared" si="11"/>
        <v>4.1608421548511272</v>
      </c>
      <c r="AF19" s="31">
        <f t="shared" si="12"/>
        <v>3.0175325861128241E-2</v>
      </c>
      <c r="AG19" s="31">
        <f t="shared" si="13"/>
        <v>0.3361196019531229</v>
      </c>
      <c r="AH19" s="31">
        <f t="shared" si="14"/>
        <v>0.24475542087359572</v>
      </c>
      <c r="AI19" s="31">
        <f t="shared" si="15"/>
        <v>0.66134255845639389</v>
      </c>
      <c r="AJ19" s="31">
        <f t="shared" si="16"/>
        <v>2.1055671823098372</v>
      </c>
      <c r="AK19" s="31">
        <f t="shared" si="17"/>
        <v>0.685650459844525</v>
      </c>
      <c r="AL19" s="31">
        <f t="shared" si="18"/>
        <v>0.49286365573176127</v>
      </c>
      <c r="AM19" s="31">
        <f t="shared" si="19"/>
        <v>3.0175325861128241E-2</v>
      </c>
      <c r="AN19" s="31">
        <f t="shared" si="20"/>
        <v>8.0467535629675305E-2</v>
      </c>
      <c r="AO19" s="31">
        <f t="shared" si="21"/>
        <v>0.24056440339288346</v>
      </c>
      <c r="AP19" s="34">
        <f t="shared" si="22"/>
        <v>0</v>
      </c>
      <c r="AQ19" s="34">
        <f t="shared" si="23"/>
        <v>0</v>
      </c>
      <c r="AR19" s="31">
        <f t="shared" si="24"/>
        <v>1.424945943442167E-2</v>
      </c>
      <c r="AS19" s="31">
        <f t="shared" si="25"/>
        <v>0.13914178035964689</v>
      </c>
      <c r="AT19" s="31">
        <f t="shared" si="26"/>
        <v>0.25397565933116267</v>
      </c>
      <c r="AV19" s="23" t="s">
        <v>16</v>
      </c>
      <c r="AW19" s="67">
        <v>1193027.7129624998</v>
      </c>
      <c r="AX19" s="21">
        <v>13274</v>
      </c>
      <c r="AY19" s="31">
        <v>1.1126313207794896E-2</v>
      </c>
      <c r="AZ19" s="33">
        <v>2.5</v>
      </c>
      <c r="BA19" s="31">
        <v>5.4126008724580676E-2</v>
      </c>
      <c r="BB19" s="31">
        <v>0.94587399127541927</v>
      </c>
      <c r="BC19" s="32">
        <v>90476.65061885734</v>
      </c>
      <c r="BD19" s="32">
        <v>4897.1399807671105</v>
      </c>
      <c r="BE19" s="32">
        <v>440140.40314236889</v>
      </c>
      <c r="BF19" s="32">
        <v>1619527.023517949</v>
      </c>
      <c r="BG19" s="32">
        <v>17.899944487781511</v>
      </c>
      <c r="BH19" s="69"/>
      <c r="BI19" s="34">
        <v>2512</v>
      </c>
      <c r="BJ19" s="31">
        <f t="shared" si="27"/>
        <v>1.0242921042349454E-2</v>
      </c>
      <c r="BK19" s="32">
        <f t="shared" si="28"/>
        <v>926.74518846519356</v>
      </c>
      <c r="BL19" s="32">
        <f t="shared" si="36"/>
        <v>25437.284102730038</v>
      </c>
      <c r="BM19" s="32">
        <f t="shared" si="29"/>
        <v>2205.3680345734861</v>
      </c>
      <c r="BN19" s="74"/>
      <c r="BO19" s="91">
        <v>4964</v>
      </c>
      <c r="BP19" s="77">
        <f t="shared" si="2"/>
        <v>2.0241186327317952E-2</v>
      </c>
      <c r="BQ19" s="78">
        <f t="shared" si="3"/>
        <v>1831.3547434479385</v>
      </c>
      <c r="BR19" s="102">
        <f t="shared" si="37"/>
        <v>12615.849515522577</v>
      </c>
      <c r="BS19" s="78">
        <f t="shared" si="38"/>
        <v>6460.9221750554243</v>
      </c>
      <c r="BU19" s="21">
        <v>1562</v>
      </c>
      <c r="BV19" s="31">
        <f t="shared" si="30"/>
        <v>6.3692048838176153E-3</v>
      </c>
      <c r="BW19" s="32">
        <f t="shared" si="4"/>
        <v>576.26432499308623</v>
      </c>
      <c r="BX19" s="32">
        <f t="shared" si="39"/>
        <v>10826.537792224606</v>
      </c>
      <c r="BY19" s="32">
        <f t="shared" si="40"/>
        <v>1282.4242005575925</v>
      </c>
      <c r="CB19" s="23" t="s">
        <v>16</v>
      </c>
      <c r="CC19" s="21">
        <v>13274</v>
      </c>
      <c r="CD19" s="21">
        <v>1562</v>
      </c>
      <c r="CE19" s="31">
        <f t="shared" si="31"/>
        <v>0.88232635226759082</v>
      </c>
      <c r="CF19" s="31">
        <f t="shared" si="5"/>
        <v>0.95208795192961915</v>
      </c>
      <c r="CG19" s="32">
        <f t="shared" si="41"/>
        <v>91155.915405875407</v>
      </c>
      <c r="CH19" s="31">
        <f t="shared" si="32"/>
        <v>9.8170393468203863E-3</v>
      </c>
      <c r="CI19" s="32">
        <f t="shared" si="33"/>
        <v>4367.4666008258728</v>
      </c>
      <c r="CJ19" s="32">
        <f t="shared" si="34"/>
        <v>444886.3294248117</v>
      </c>
      <c r="CK19" s="32">
        <f t="shared" si="42"/>
        <v>1710419.3691009243</v>
      </c>
      <c r="CL19" s="32">
        <f t="shared" si="35"/>
        <v>18.763668397001037</v>
      </c>
    </row>
    <row r="20" spans="1:90" x14ac:dyDescent="0.55000000000000004">
      <c r="A20" s="23" t="s">
        <v>17</v>
      </c>
      <c r="B20" s="21">
        <v>990172.96458799997</v>
      </c>
      <c r="C20" s="21">
        <v>978158.60904500005</v>
      </c>
      <c r="D20" s="64">
        <v>284</v>
      </c>
      <c r="E20" s="64">
        <v>2639</v>
      </c>
      <c r="F20" s="65">
        <v>464</v>
      </c>
      <c r="G20" s="64">
        <v>5530</v>
      </c>
      <c r="H20" s="65">
        <v>88</v>
      </c>
      <c r="I20" s="65">
        <v>681</v>
      </c>
      <c r="J20" s="65">
        <v>666</v>
      </c>
      <c r="K20" s="64">
        <v>1626</v>
      </c>
      <c r="L20" s="64">
        <v>4444</v>
      </c>
      <c r="M20" s="64">
        <v>1285</v>
      </c>
      <c r="N20" s="65">
        <v>961</v>
      </c>
      <c r="O20" s="65">
        <v>101</v>
      </c>
      <c r="P20" s="65">
        <v>221</v>
      </c>
      <c r="Q20" s="65">
        <v>589</v>
      </c>
      <c r="R20" s="65">
        <v>0</v>
      </c>
      <c r="S20" s="65">
        <v>0</v>
      </c>
      <c r="T20" s="65">
        <v>15</v>
      </c>
      <c r="U20" s="65">
        <v>206</v>
      </c>
      <c r="V20" s="65">
        <v>392</v>
      </c>
      <c r="W20" s="66">
        <f t="shared" si="0"/>
        <v>20192</v>
      </c>
      <c r="X20" s="67">
        <f t="shared" si="6"/>
        <v>984165.78681650001</v>
      </c>
      <c r="Y20" s="21">
        <f t="shared" si="7"/>
        <v>20.516868469199128</v>
      </c>
      <c r="AA20" s="23" t="s">
        <v>17</v>
      </c>
      <c r="AB20" s="31">
        <f t="shared" si="8"/>
        <v>0.28856926729658045</v>
      </c>
      <c r="AC20" s="31">
        <f t="shared" si="9"/>
        <v>2.6814587901256188</v>
      </c>
      <c r="AD20" s="31">
        <f t="shared" si="10"/>
        <v>0.47146528178032859</v>
      </c>
      <c r="AE20" s="31">
        <f t="shared" si="11"/>
        <v>5.6189720005284851</v>
      </c>
      <c r="AF20" s="31">
        <f t="shared" si="12"/>
        <v>8.9415829303165772E-2</v>
      </c>
      <c r="AG20" s="31">
        <f t="shared" si="13"/>
        <v>0.69195658813018057</v>
      </c>
      <c r="AH20" s="31">
        <f t="shared" si="14"/>
        <v>0.67671525358986828</v>
      </c>
      <c r="AI20" s="31">
        <f t="shared" si="15"/>
        <v>1.6521606641698585</v>
      </c>
      <c r="AJ20" s="31">
        <f t="shared" si="16"/>
        <v>4.5154993798098717</v>
      </c>
      <c r="AK20" s="31">
        <f t="shared" si="17"/>
        <v>1.3056743256200911</v>
      </c>
      <c r="AL20" s="31">
        <f t="shared" si="18"/>
        <v>0.97646149954934436</v>
      </c>
      <c r="AM20" s="31">
        <f t="shared" si="19"/>
        <v>0.1026249859047698</v>
      </c>
      <c r="AN20" s="31">
        <f t="shared" si="20"/>
        <v>0.22455566222726858</v>
      </c>
      <c r="AO20" s="31">
        <f t="shared" si="21"/>
        <v>0.59847640294959814</v>
      </c>
      <c r="AP20" s="34">
        <f t="shared" si="22"/>
        <v>0</v>
      </c>
      <c r="AQ20" s="34">
        <f t="shared" si="23"/>
        <v>0</v>
      </c>
      <c r="AR20" s="31">
        <f t="shared" si="24"/>
        <v>1.5241334540312347E-2</v>
      </c>
      <c r="AS20" s="31">
        <f t="shared" si="25"/>
        <v>0.20931432768695624</v>
      </c>
      <c r="AT20" s="31">
        <f t="shared" si="26"/>
        <v>0.39830687598682935</v>
      </c>
      <c r="AV20" s="23" t="s">
        <v>17</v>
      </c>
      <c r="AW20" s="67">
        <v>984165.78681650001</v>
      </c>
      <c r="AX20" s="21">
        <v>20192</v>
      </c>
      <c r="AY20" s="31">
        <v>2.0516868469199128E-2</v>
      </c>
      <c r="AZ20" s="33">
        <v>2.5</v>
      </c>
      <c r="BA20" s="31">
        <v>9.757928876378423E-2</v>
      </c>
      <c r="BB20" s="31">
        <v>0.90242071123621581</v>
      </c>
      <c r="BC20" s="32">
        <v>85579.510638090229</v>
      </c>
      <c r="BD20" s="32">
        <v>8350.7877808175508</v>
      </c>
      <c r="BE20" s="32">
        <v>407020.58373840724</v>
      </c>
      <c r="BF20" s="32">
        <v>1179386.6203755802</v>
      </c>
      <c r="BG20" s="32">
        <v>13.78117976583348</v>
      </c>
      <c r="BH20" s="69"/>
      <c r="BI20" s="34">
        <v>4444</v>
      </c>
      <c r="BJ20" s="31">
        <f t="shared" si="27"/>
        <v>2.1475948854311467E-2</v>
      </c>
      <c r="BK20" s="32">
        <f t="shared" si="28"/>
        <v>1837.9011934406299</v>
      </c>
      <c r="BL20" s="32">
        <f t="shared" si="36"/>
        <v>24510.538914264846</v>
      </c>
      <c r="BM20" s="32">
        <f t="shared" si="29"/>
        <v>4043.2692280141159</v>
      </c>
      <c r="BN20" s="74"/>
      <c r="BO20" s="91">
        <v>5530</v>
      </c>
      <c r="BP20" s="77">
        <f t="shared" si="2"/>
        <v>2.6724121774154456E-2</v>
      </c>
      <c r="BQ20" s="78">
        <f t="shared" si="3"/>
        <v>2287.0372636648699</v>
      </c>
      <c r="BR20" s="102">
        <f t="shared" si="37"/>
        <v>10784.494772074639</v>
      </c>
      <c r="BS20" s="78">
        <f t="shared" si="38"/>
        <v>8747.9594387202942</v>
      </c>
      <c r="BU20" s="21">
        <v>2639</v>
      </c>
      <c r="BV20" s="31">
        <f t="shared" si="30"/>
        <v>1.2753156846653456E-2</v>
      </c>
      <c r="BW20" s="32">
        <f t="shared" si="4"/>
        <v>1091.4089220274127</v>
      </c>
      <c r="BX20" s="32">
        <f t="shared" si="39"/>
        <v>10250.27346723152</v>
      </c>
      <c r="BY20" s="32">
        <f t="shared" si="40"/>
        <v>2373.8331225850052</v>
      </c>
      <c r="CB20" s="23" t="s">
        <v>17</v>
      </c>
      <c r="CC20" s="21">
        <v>20192</v>
      </c>
      <c r="CD20" s="21">
        <v>2639</v>
      </c>
      <c r="CE20" s="31">
        <f t="shared" si="31"/>
        <v>0.869304675118859</v>
      </c>
      <c r="CF20" s="31">
        <f t="shared" si="5"/>
        <v>0.91461197290044949</v>
      </c>
      <c r="CG20" s="32">
        <f t="shared" si="41"/>
        <v>86788.448805049527</v>
      </c>
      <c r="CH20" s="31">
        <f t="shared" si="32"/>
        <v>1.7835409679073509E-2</v>
      </c>
      <c r="CI20" s="32">
        <f t="shared" si="33"/>
        <v>7410.694418493521</v>
      </c>
      <c r="CJ20" s="32">
        <f t="shared" si="34"/>
        <v>415504.58059780783</v>
      </c>
      <c r="CK20" s="32">
        <f t="shared" si="42"/>
        <v>1265533.0396761126</v>
      </c>
      <c r="CL20" s="32">
        <f t="shared" si="35"/>
        <v>14.581814251788785</v>
      </c>
    </row>
    <row r="21" spans="1:90" x14ac:dyDescent="0.55000000000000004">
      <c r="A21" s="23" t="s">
        <v>18</v>
      </c>
      <c r="B21" s="21">
        <v>773764.04770800006</v>
      </c>
      <c r="C21" s="21">
        <v>762743.54011900001</v>
      </c>
      <c r="D21" s="64">
        <v>490</v>
      </c>
      <c r="E21" s="64">
        <v>4397</v>
      </c>
      <c r="F21" s="64">
        <v>1086</v>
      </c>
      <c r="G21" s="64">
        <v>6475</v>
      </c>
      <c r="H21" s="65">
        <v>150</v>
      </c>
      <c r="I21" s="64">
        <v>1337</v>
      </c>
      <c r="J21" s="64">
        <v>1765</v>
      </c>
      <c r="K21" s="64">
        <v>2881</v>
      </c>
      <c r="L21" s="64">
        <v>8842</v>
      </c>
      <c r="M21" s="64">
        <v>2642</v>
      </c>
      <c r="N21" s="64">
        <v>1565</v>
      </c>
      <c r="O21" s="65">
        <v>185</v>
      </c>
      <c r="P21" s="65">
        <v>472</v>
      </c>
      <c r="Q21" s="64">
        <v>1295</v>
      </c>
      <c r="R21" s="65">
        <v>0</v>
      </c>
      <c r="S21" s="65">
        <v>0</v>
      </c>
      <c r="T21" s="65">
        <v>26</v>
      </c>
      <c r="U21" s="65">
        <v>546</v>
      </c>
      <c r="V21" s="65">
        <v>680</v>
      </c>
      <c r="W21" s="66">
        <f t="shared" si="0"/>
        <v>34834</v>
      </c>
      <c r="X21" s="67">
        <f t="shared" si="6"/>
        <v>768253.79391350003</v>
      </c>
      <c r="Y21" s="21">
        <f t="shared" si="7"/>
        <v>45.34178714895102</v>
      </c>
      <c r="AA21" s="23" t="s">
        <v>18</v>
      </c>
      <c r="AB21" s="31">
        <f t="shared" si="8"/>
        <v>0.6378100620941034</v>
      </c>
      <c r="AC21" s="31">
        <f t="shared" si="9"/>
        <v>5.7233690674036177</v>
      </c>
      <c r="AD21" s="31">
        <f t="shared" si="10"/>
        <v>1.4135953621106048</v>
      </c>
      <c r="AE21" s="31">
        <f t="shared" si="11"/>
        <v>8.4282043919577951</v>
      </c>
      <c r="AF21" s="31">
        <f t="shared" si="12"/>
        <v>0.19524797819207249</v>
      </c>
      <c r="AG21" s="31">
        <f t="shared" si="13"/>
        <v>1.7403103122853394</v>
      </c>
      <c r="AH21" s="31">
        <f t="shared" si="14"/>
        <v>2.2974178767267195</v>
      </c>
      <c r="AI21" s="31">
        <f t="shared" si="15"/>
        <v>3.750062834475739</v>
      </c>
      <c r="AJ21" s="31">
        <f t="shared" si="16"/>
        <v>11.5092174878287</v>
      </c>
      <c r="AK21" s="31">
        <f t="shared" si="17"/>
        <v>3.4389677225563697</v>
      </c>
      <c r="AL21" s="31">
        <f t="shared" si="18"/>
        <v>2.0370872391372896</v>
      </c>
      <c r="AM21" s="31">
        <f t="shared" si="19"/>
        <v>0.24080583977022271</v>
      </c>
      <c r="AN21" s="31">
        <f t="shared" si="20"/>
        <v>0.61438030471105476</v>
      </c>
      <c r="AO21" s="31">
        <f t="shared" si="21"/>
        <v>1.6856408783915591</v>
      </c>
      <c r="AP21" s="34">
        <f t="shared" si="22"/>
        <v>0</v>
      </c>
      <c r="AQ21" s="34">
        <f t="shared" si="23"/>
        <v>0</v>
      </c>
      <c r="AR21" s="31">
        <f t="shared" si="24"/>
        <v>3.3842982886625898E-2</v>
      </c>
      <c r="AS21" s="31">
        <f t="shared" si="25"/>
        <v>0.71070264061914379</v>
      </c>
      <c r="AT21" s="31">
        <f t="shared" si="26"/>
        <v>0.88512416780406189</v>
      </c>
      <c r="AV21" s="23" t="s">
        <v>18</v>
      </c>
      <c r="AW21" s="67">
        <v>768253.79391350003</v>
      </c>
      <c r="AX21" s="21">
        <v>34834</v>
      </c>
      <c r="AY21" s="31">
        <v>4.534178714895102E-2</v>
      </c>
      <c r="AZ21" s="33">
        <v>2.5</v>
      </c>
      <c r="BA21" s="31">
        <v>0.20362691513511982</v>
      </c>
      <c r="BB21" s="31">
        <v>0.79637308486488023</v>
      </c>
      <c r="BC21" s="32">
        <v>77228.722857272674</v>
      </c>
      <c r="BD21" s="32">
        <v>15725.846595251551</v>
      </c>
      <c r="BE21" s="32">
        <v>346828.99779823452</v>
      </c>
      <c r="BF21" s="32">
        <v>772366.03663717292</v>
      </c>
      <c r="BG21" s="32">
        <v>10.001020450183953</v>
      </c>
      <c r="BH21" s="69"/>
      <c r="BI21" s="34">
        <v>8842</v>
      </c>
      <c r="BJ21" s="31">
        <f t="shared" si="27"/>
        <v>5.1687121307479177E-2</v>
      </c>
      <c r="BK21" s="32">
        <f t="shared" si="28"/>
        <v>3991.7303667455426</v>
      </c>
      <c r="BL21" s="32">
        <f t="shared" si="36"/>
        <v>22672.637720824216</v>
      </c>
      <c r="BM21" s="32">
        <f t="shared" si="29"/>
        <v>8034.9995947596581</v>
      </c>
      <c r="BN21" s="74"/>
      <c r="BO21" s="91">
        <v>6475</v>
      </c>
      <c r="BP21" s="77">
        <f t="shared" si="2"/>
        <v>3.7850498808632393E-2</v>
      </c>
      <c r="BQ21" s="78">
        <f t="shared" si="3"/>
        <v>2923.1456825014006</v>
      </c>
      <c r="BR21" s="102">
        <f t="shared" si="37"/>
        <v>8497.4575084097687</v>
      </c>
      <c r="BS21" s="78">
        <f t="shared" si="38"/>
        <v>11671.105121221695</v>
      </c>
      <c r="BU21" s="21">
        <v>4397</v>
      </c>
      <c r="BV21" s="31">
        <f t="shared" si="30"/>
        <v>2.5703265368580176E-2</v>
      </c>
      <c r="BW21" s="32">
        <f t="shared" si="4"/>
        <v>1985.0303576770129</v>
      </c>
      <c r="BX21" s="32">
        <f t="shared" si="39"/>
        <v>9158.8645452041073</v>
      </c>
      <c r="BY21" s="32">
        <f t="shared" si="40"/>
        <v>4358.8634802620181</v>
      </c>
      <c r="CB21" s="23" t="s">
        <v>18</v>
      </c>
      <c r="CC21" s="21">
        <v>34834</v>
      </c>
      <c r="CD21" s="21">
        <v>4397</v>
      </c>
      <c r="CE21" s="31">
        <f t="shared" si="31"/>
        <v>0.873772750760751</v>
      </c>
      <c r="CF21" s="31">
        <f t="shared" si="5"/>
        <v>0.81959321905851523</v>
      </c>
      <c r="CG21" s="32">
        <f t="shared" si="41"/>
        <v>79377.754386556</v>
      </c>
      <c r="CH21" s="31">
        <f t="shared" si="32"/>
        <v>3.9618418081547403E-2</v>
      </c>
      <c r="CI21" s="32">
        <f t="shared" si="33"/>
        <v>14320.28514724239</v>
      </c>
      <c r="CJ21" s="32">
        <f t="shared" si="34"/>
        <v>361455.24835864606</v>
      </c>
      <c r="CK21" s="32">
        <f t="shared" si="42"/>
        <v>850028.4590783047</v>
      </c>
      <c r="CL21" s="32">
        <f t="shared" si="35"/>
        <v>10.708648356802996</v>
      </c>
    </row>
    <row r="22" spans="1:90" x14ac:dyDescent="0.55000000000000004">
      <c r="A22" s="23" t="s">
        <v>19</v>
      </c>
      <c r="B22" s="21">
        <v>630405.99606499996</v>
      </c>
      <c r="C22" s="21">
        <v>634690.18101399997</v>
      </c>
      <c r="D22" s="64">
        <v>789</v>
      </c>
      <c r="E22" s="64">
        <v>7325</v>
      </c>
      <c r="F22" s="64">
        <v>2230</v>
      </c>
      <c r="G22" s="64">
        <v>7388</v>
      </c>
      <c r="H22" s="65">
        <v>283</v>
      </c>
      <c r="I22" s="64">
        <v>2332</v>
      </c>
      <c r="J22" s="64">
        <v>3807</v>
      </c>
      <c r="K22" s="64">
        <v>4856</v>
      </c>
      <c r="L22" s="64">
        <v>16623</v>
      </c>
      <c r="M22" s="64">
        <v>4734</v>
      </c>
      <c r="N22" s="64">
        <v>2593</v>
      </c>
      <c r="O22" s="65">
        <v>319</v>
      </c>
      <c r="P22" s="65">
        <v>870</v>
      </c>
      <c r="Q22" s="64">
        <v>2494</v>
      </c>
      <c r="R22" s="65">
        <v>0</v>
      </c>
      <c r="S22" s="65">
        <v>0</v>
      </c>
      <c r="T22" s="65">
        <v>20</v>
      </c>
      <c r="U22" s="64">
        <v>1066</v>
      </c>
      <c r="V22" s="64">
        <v>1109</v>
      </c>
      <c r="W22" s="66">
        <f t="shared" si="0"/>
        <v>58838</v>
      </c>
      <c r="X22" s="67">
        <f t="shared" si="6"/>
        <v>632548.08853950002</v>
      </c>
      <c r="Y22" s="21">
        <f t="shared" si="7"/>
        <v>93.017433877402055</v>
      </c>
      <c r="AA22" s="23" t="s">
        <v>19</v>
      </c>
      <c r="AB22" s="31">
        <f t="shared" si="8"/>
        <v>1.2473359959425918</v>
      </c>
      <c r="AC22" s="31">
        <f t="shared" si="9"/>
        <v>11.580147237363098</v>
      </c>
      <c r="AD22" s="31">
        <f t="shared" si="10"/>
        <v>3.5254236640709502</v>
      </c>
      <c r="AE22" s="31">
        <f t="shared" si="11"/>
        <v>11.679744408141785</v>
      </c>
      <c r="AF22" s="31">
        <f t="shared" si="12"/>
        <v>0.4473968147677484</v>
      </c>
      <c r="AG22" s="31">
        <f t="shared" si="13"/>
        <v>3.6866762262840611</v>
      </c>
      <c r="AH22" s="31">
        <f t="shared" si="14"/>
        <v>6.0185147484834562</v>
      </c>
      <c r="AI22" s="31">
        <f t="shared" si="15"/>
        <v>7.676886687322213</v>
      </c>
      <c r="AJ22" s="31">
        <f t="shared" si="16"/>
        <v>26.279424918319016</v>
      </c>
      <c r="AK22" s="31">
        <f t="shared" si="17"/>
        <v>7.4840159756555504</v>
      </c>
      <c r="AL22" s="31">
        <f t="shared" si="18"/>
        <v>4.099293076652903</v>
      </c>
      <c r="AM22" s="31">
        <f t="shared" si="19"/>
        <v>0.50430948378414042</v>
      </c>
      <c r="AN22" s="31">
        <f t="shared" si="20"/>
        <v>1.3753895012294739</v>
      </c>
      <c r="AO22" s="31">
        <f t="shared" si="21"/>
        <v>3.9427832368578248</v>
      </c>
      <c r="AP22" s="34">
        <f t="shared" si="22"/>
        <v>0</v>
      </c>
      <c r="AQ22" s="34">
        <f t="shared" si="23"/>
        <v>0</v>
      </c>
      <c r="AR22" s="31">
        <f t="shared" si="24"/>
        <v>3.1618149453551125E-2</v>
      </c>
      <c r="AS22" s="31">
        <f t="shared" si="25"/>
        <v>1.6852473658742748</v>
      </c>
      <c r="AT22" s="31">
        <f t="shared" si="26"/>
        <v>1.7532263871994098</v>
      </c>
      <c r="AV22" s="23" t="s">
        <v>19</v>
      </c>
      <c r="AW22" s="67">
        <v>632548.08853950002</v>
      </c>
      <c r="AX22" s="21">
        <v>58838</v>
      </c>
      <c r="AY22" s="31">
        <v>9.301743387740205E-2</v>
      </c>
      <c r="AZ22" s="33">
        <v>2.5</v>
      </c>
      <c r="BA22" s="31">
        <v>0.37733932914239526</v>
      </c>
      <c r="BB22" s="31">
        <v>0.62266067085760479</v>
      </c>
      <c r="BC22" s="32">
        <v>61502.876262021127</v>
      </c>
      <c r="BD22" s="32">
        <v>23207.454069038798</v>
      </c>
      <c r="BE22" s="32">
        <v>249495.74613750866</v>
      </c>
      <c r="BF22" s="32">
        <v>425537.0388389384</v>
      </c>
      <c r="BG22" s="32">
        <v>6.9189778544018008</v>
      </c>
      <c r="BH22" s="69"/>
      <c r="BI22" s="34">
        <v>16623</v>
      </c>
      <c r="BJ22" s="31">
        <f t="shared" si="27"/>
        <v>0.10660647316927897</v>
      </c>
      <c r="BK22" s="32">
        <f t="shared" si="28"/>
        <v>6556.6047280606399</v>
      </c>
      <c r="BL22" s="32">
        <f t="shared" si="36"/>
        <v>18680.907354078674</v>
      </c>
      <c r="BM22" s="32">
        <f t="shared" si="29"/>
        <v>14591.604322820298</v>
      </c>
      <c r="BN22" s="74"/>
      <c r="BO22" s="91">
        <v>7388</v>
      </c>
      <c r="BP22" s="77">
        <f t="shared" si="2"/>
        <v>4.738065474190177E-2</v>
      </c>
      <c r="BQ22" s="78">
        <f t="shared" si="3"/>
        <v>2914.0465458047292</v>
      </c>
      <c r="BR22" s="102">
        <f t="shared" si="37"/>
        <v>5574.3118259083676</v>
      </c>
      <c r="BS22" s="78">
        <f t="shared" si="38"/>
        <v>14585.151667026425</v>
      </c>
      <c r="BU22" s="21">
        <v>7325</v>
      </c>
      <c r="BV22" s="31">
        <f t="shared" si="30"/>
        <v>4.6976623712023609E-2</v>
      </c>
      <c r="BW22" s="32">
        <f t="shared" si="4"/>
        <v>2889.1974753681156</v>
      </c>
      <c r="BX22" s="32">
        <f t="shared" si="39"/>
        <v>7173.8341875270944</v>
      </c>
      <c r="BY22" s="32">
        <f t="shared" si="40"/>
        <v>7248.0609556301333</v>
      </c>
      <c r="CB22" s="23" t="s">
        <v>19</v>
      </c>
      <c r="CC22" s="21">
        <v>58838</v>
      </c>
      <c r="CD22" s="21">
        <v>7325</v>
      </c>
      <c r="CE22" s="31">
        <f t="shared" si="31"/>
        <v>0.87550562561609846</v>
      </c>
      <c r="CF22" s="31">
        <f t="shared" si="5"/>
        <v>0.66048958544516578</v>
      </c>
      <c r="CG22" s="32">
        <f t="shared" si="41"/>
        <v>65057.469239313614</v>
      </c>
      <c r="CH22" s="31">
        <f t="shared" si="32"/>
        <v>8.1437286640038964E-2</v>
      </c>
      <c r="CI22" s="32">
        <f t="shared" si="33"/>
        <v>22087.688351327739</v>
      </c>
      <c r="CJ22" s="32">
        <f t="shared" si="34"/>
        <v>271223.28435324167</v>
      </c>
      <c r="CK22" s="32">
        <f t="shared" si="42"/>
        <v>488573.21071965864</v>
      </c>
      <c r="CL22" s="32">
        <f t="shared" si="35"/>
        <v>7.5098711405825558</v>
      </c>
    </row>
    <row r="23" spans="1:90" x14ac:dyDescent="0.55000000000000004">
      <c r="A23" s="23" t="s">
        <v>20</v>
      </c>
      <c r="B23" s="21">
        <v>309930.35198799998</v>
      </c>
      <c r="C23" s="21">
        <v>302355.335119</v>
      </c>
      <c r="D23" s="64">
        <v>623</v>
      </c>
      <c r="E23" s="64">
        <v>6454</v>
      </c>
      <c r="F23" s="64">
        <v>2319</v>
      </c>
      <c r="G23" s="64">
        <v>4509</v>
      </c>
      <c r="H23" s="65">
        <v>280</v>
      </c>
      <c r="I23" s="64">
        <v>2073</v>
      </c>
      <c r="J23" s="64">
        <v>4689</v>
      </c>
      <c r="K23" s="64">
        <v>3923</v>
      </c>
      <c r="L23" s="64">
        <v>17158</v>
      </c>
      <c r="M23" s="64">
        <v>4816</v>
      </c>
      <c r="N23" s="64">
        <v>2270</v>
      </c>
      <c r="O23" s="65">
        <v>362</v>
      </c>
      <c r="P23" s="65">
        <v>991</v>
      </c>
      <c r="Q23" s="64">
        <v>2573</v>
      </c>
      <c r="R23" s="65">
        <v>0</v>
      </c>
      <c r="S23" s="65">
        <v>0</v>
      </c>
      <c r="T23" s="65">
        <v>15</v>
      </c>
      <c r="U23" s="64">
        <v>1474</v>
      </c>
      <c r="V23" s="64">
        <v>1049</v>
      </c>
      <c r="W23" s="66">
        <f t="shared" si="0"/>
        <v>55578</v>
      </c>
      <c r="X23" s="67">
        <f t="shared" si="6"/>
        <v>306142.84355350002</v>
      </c>
      <c r="Y23" s="21">
        <f t="shared" si="7"/>
        <v>181.54270521201147</v>
      </c>
      <c r="AA23" s="23" t="s">
        <v>20</v>
      </c>
      <c r="AB23" s="31">
        <f t="shared" si="8"/>
        <v>2.0349977571536066</v>
      </c>
      <c r="AC23" s="31">
        <f t="shared" si="9"/>
        <v>21.081662158377814</v>
      </c>
      <c r="AD23" s="31">
        <f t="shared" si="10"/>
        <v>7.5748953432411135</v>
      </c>
      <c r="AE23" s="31">
        <f t="shared" si="11"/>
        <v>14.728418759238542</v>
      </c>
      <c r="AF23" s="31">
        <f t="shared" si="12"/>
        <v>0.91460573355218278</v>
      </c>
      <c r="AG23" s="31">
        <f t="shared" si="13"/>
        <v>6.7713488773345532</v>
      </c>
      <c r="AH23" s="31">
        <f t="shared" si="14"/>
        <v>15.31637958795066</v>
      </c>
      <c r="AI23" s="31">
        <f t="shared" si="15"/>
        <v>12.81427961687576</v>
      </c>
      <c r="AJ23" s="31">
        <f t="shared" si="16"/>
        <v>56.0457327724584</v>
      </c>
      <c r="AK23" s="31">
        <f t="shared" si="17"/>
        <v>15.731218617097543</v>
      </c>
      <c r="AL23" s="31">
        <f t="shared" si="18"/>
        <v>7.4148393398694816</v>
      </c>
      <c r="AM23" s="31">
        <f t="shared" si="19"/>
        <v>1.1824545555210362</v>
      </c>
      <c r="AN23" s="31">
        <f t="shared" si="20"/>
        <v>3.2370510069650469</v>
      </c>
      <c r="AO23" s="31">
        <f t="shared" si="21"/>
        <v>8.4045734015348792</v>
      </c>
      <c r="AP23" s="34">
        <f t="shared" si="22"/>
        <v>0</v>
      </c>
      <c r="AQ23" s="34">
        <f t="shared" si="23"/>
        <v>0</v>
      </c>
      <c r="AR23" s="31">
        <f t="shared" si="24"/>
        <v>4.8996735726009787E-2</v>
      </c>
      <c r="AS23" s="31">
        <f t="shared" si="25"/>
        <v>4.8147458973425623</v>
      </c>
      <c r="AT23" s="31">
        <f t="shared" si="26"/>
        <v>3.4265050517722848</v>
      </c>
      <c r="AV23" s="23" t="s">
        <v>20</v>
      </c>
      <c r="AW23" s="67">
        <v>306142.84355350002</v>
      </c>
      <c r="AX23" s="21">
        <v>55578</v>
      </c>
      <c r="AY23" s="31">
        <v>0.18154270521201146</v>
      </c>
      <c r="AZ23" s="33">
        <v>2.5</v>
      </c>
      <c r="BA23" s="31">
        <v>0.62434866290972368</v>
      </c>
      <c r="BB23" s="31">
        <v>0.37565133709027632</v>
      </c>
      <c r="BC23" s="32">
        <v>38295.422192982332</v>
      </c>
      <c r="BD23" s="32">
        <v>23909.695641751878</v>
      </c>
      <c r="BE23" s="32">
        <v>131702.87186053197</v>
      </c>
      <c r="BF23" s="32">
        <v>176041.29270142975</v>
      </c>
      <c r="BG23" s="32">
        <v>4.5969278472581889</v>
      </c>
      <c r="BH23" s="69"/>
      <c r="BI23" s="34">
        <v>17158</v>
      </c>
      <c r="BJ23" s="31">
        <f t="shared" si="27"/>
        <v>0.19274846806659179</v>
      </c>
      <c r="BK23" s="32">
        <f t="shared" si="28"/>
        <v>7381.3839616607056</v>
      </c>
      <c r="BL23" s="32">
        <f t="shared" si="36"/>
        <v>12124.302626018034</v>
      </c>
      <c r="BM23" s="32">
        <f t="shared" si="29"/>
        <v>21972.988284481005</v>
      </c>
      <c r="BN23" s="74"/>
      <c r="BO23" s="91">
        <v>4509</v>
      </c>
      <c r="BP23" s="77">
        <f t="shared" si="2"/>
        <v>5.0652922398430028E-2</v>
      </c>
      <c r="BQ23" s="78">
        <f t="shared" si="3"/>
        <v>1939.7750485562492</v>
      </c>
      <c r="BR23" s="102">
        <f t="shared" si="37"/>
        <v>2660.2652801036384</v>
      </c>
      <c r="BS23" s="78">
        <f t="shared" si="38"/>
        <v>16524.926715582675</v>
      </c>
      <c r="BU23" s="21">
        <v>6454</v>
      </c>
      <c r="BV23" s="31">
        <f t="shared" si="30"/>
        <v>7.2502541840644794E-2</v>
      </c>
      <c r="BW23" s="32">
        <f t="shared" si="4"/>
        <v>2776.5154498518586</v>
      </c>
      <c r="BX23" s="32">
        <f t="shared" si="39"/>
        <v>4284.6367121589792</v>
      </c>
      <c r="BY23" s="32">
        <f t="shared" si="40"/>
        <v>10024.576405481992</v>
      </c>
      <c r="CB23" s="23" t="s">
        <v>20</v>
      </c>
      <c r="CC23" s="21">
        <v>55578</v>
      </c>
      <c r="CD23" s="21">
        <v>6454</v>
      </c>
      <c r="CE23" s="31">
        <f t="shared" si="31"/>
        <v>0.88387491453452804</v>
      </c>
      <c r="CF23" s="31">
        <f t="shared" si="5"/>
        <v>0.42088463772383017</v>
      </c>
      <c r="CG23" s="32">
        <f t="shared" si="41"/>
        <v>42969.780887985871</v>
      </c>
      <c r="CH23" s="31">
        <f t="shared" si="32"/>
        <v>0.16046104305363365</v>
      </c>
      <c r="CI23" s="32">
        <f t="shared" si="33"/>
        <v>24884.460225873576</v>
      </c>
      <c r="CJ23" s="32">
        <f t="shared" si="34"/>
        <v>155081.00752876207</v>
      </c>
      <c r="CK23" s="32">
        <f t="shared" si="42"/>
        <v>217349.92636641697</v>
      </c>
      <c r="CL23" s="32">
        <f t="shared" si="35"/>
        <v>5.0582042047877156</v>
      </c>
    </row>
    <row r="24" spans="1:90" x14ac:dyDescent="0.55000000000000004">
      <c r="A24" s="23" t="s">
        <v>21</v>
      </c>
      <c r="B24" s="21">
        <v>96454.181653000007</v>
      </c>
      <c r="C24" s="21">
        <v>95055.931343999982</v>
      </c>
      <c r="D24" s="64">
        <v>305</v>
      </c>
      <c r="E24" s="64">
        <v>3257</v>
      </c>
      <c r="F24" s="64">
        <v>1413</v>
      </c>
      <c r="G24" s="64">
        <v>1556</v>
      </c>
      <c r="H24" s="65">
        <v>221</v>
      </c>
      <c r="I24" s="64">
        <v>1132</v>
      </c>
      <c r="J24" s="64">
        <v>3114</v>
      </c>
      <c r="K24" s="64">
        <v>1545</v>
      </c>
      <c r="L24" s="64">
        <v>10243</v>
      </c>
      <c r="M24" s="64">
        <v>2872</v>
      </c>
      <c r="N24" s="64">
        <v>1077</v>
      </c>
      <c r="O24" s="65">
        <v>213</v>
      </c>
      <c r="P24" s="65">
        <v>660</v>
      </c>
      <c r="Q24" s="64">
        <v>1502</v>
      </c>
      <c r="R24" s="65">
        <v>0</v>
      </c>
      <c r="S24" s="65">
        <v>1</v>
      </c>
      <c r="T24" s="65">
        <v>7</v>
      </c>
      <c r="U24" s="64">
        <v>1377</v>
      </c>
      <c r="V24" s="65">
        <v>573</v>
      </c>
      <c r="W24" s="66">
        <f t="shared" si="0"/>
        <v>31068</v>
      </c>
      <c r="X24" s="67">
        <f t="shared" si="6"/>
        <v>95755.056498499995</v>
      </c>
      <c r="Y24" s="21">
        <f t="shared" si="7"/>
        <v>324.45283973579694</v>
      </c>
      <c r="AA24" s="23" t="s">
        <v>21</v>
      </c>
      <c r="AB24" s="31">
        <f t="shared" si="8"/>
        <v>3.1852103810807928</v>
      </c>
      <c r="AC24" s="31">
        <f t="shared" si="9"/>
        <v>34.013869544852923</v>
      </c>
      <c r="AD24" s="31">
        <f t="shared" si="10"/>
        <v>14.756400880220196</v>
      </c>
      <c r="AE24" s="31">
        <f t="shared" si="11"/>
        <v>16.24979459987447</v>
      </c>
      <c r="AF24" s="31">
        <f t="shared" si="12"/>
        <v>2.3079721121929677</v>
      </c>
      <c r="AG24" s="31">
        <f t="shared" si="13"/>
        <v>11.821830004535926</v>
      </c>
      <c r="AH24" s="31">
        <f t="shared" si="14"/>
        <v>32.520475825198652</v>
      </c>
      <c r="AI24" s="31">
        <f t="shared" si="15"/>
        <v>16.134918159901066</v>
      </c>
      <c r="AJ24" s="31">
        <f t="shared" si="16"/>
        <v>106.97085224069036</v>
      </c>
      <c r="AK24" s="31">
        <f t="shared" si="17"/>
        <v>29.993194145783725</v>
      </c>
      <c r="AL24" s="31">
        <f t="shared" si="18"/>
        <v>11.247447804668898</v>
      </c>
      <c r="AM24" s="31">
        <f t="shared" si="19"/>
        <v>2.2244256103941273</v>
      </c>
      <c r="AN24" s="31">
        <f t="shared" si="20"/>
        <v>6.8925863984043385</v>
      </c>
      <c r="AO24" s="31">
        <f t="shared" si="21"/>
        <v>15.685855712732296</v>
      </c>
      <c r="AP24" s="34">
        <f t="shared" si="22"/>
        <v>0</v>
      </c>
      <c r="AQ24" s="31">
        <f t="shared" si="23"/>
        <v>1.0443312724855058E-2</v>
      </c>
      <c r="AR24" s="31">
        <f t="shared" si="24"/>
        <v>7.31031890739854E-2</v>
      </c>
      <c r="AS24" s="31">
        <f t="shared" si="25"/>
        <v>14.380441622125415</v>
      </c>
      <c r="AT24" s="31">
        <f t="shared" si="26"/>
        <v>5.9840181913419483</v>
      </c>
      <c r="AV24" s="23" t="s">
        <v>21</v>
      </c>
      <c r="AW24" s="67">
        <v>95755.056498499995</v>
      </c>
      <c r="AX24" s="21">
        <v>31068</v>
      </c>
      <c r="AY24" s="53">
        <v>0.32445283973579692</v>
      </c>
      <c r="AZ24" s="73">
        <v>2.5</v>
      </c>
      <c r="BA24" s="53">
        <v>1</v>
      </c>
      <c r="BB24" s="53">
        <v>0</v>
      </c>
      <c r="BC24" s="56">
        <v>14385.726551230455</v>
      </c>
      <c r="BD24" s="56">
        <v>14385.726551230455</v>
      </c>
      <c r="BE24" s="56">
        <v>44338.420840898798</v>
      </c>
      <c r="BF24" s="56">
        <v>44338.420840897772</v>
      </c>
      <c r="BG24" s="32">
        <v>3.082112028405362</v>
      </c>
      <c r="BH24" s="69"/>
      <c r="BI24" s="34">
        <v>10243</v>
      </c>
      <c r="BJ24" s="31">
        <f t="shared" si="27"/>
        <v>0.32969615037981204</v>
      </c>
      <c r="BK24" s="32">
        <f t="shared" si="28"/>
        <v>4742.9186643573312</v>
      </c>
      <c r="BL24" s="32">
        <f t="shared" si="36"/>
        <v>4742.9186643573285</v>
      </c>
      <c r="BM24" s="32">
        <f t="shared" si="29"/>
        <v>26715.906948838336</v>
      </c>
      <c r="BN24" s="74"/>
      <c r="BO24" s="91">
        <v>1556</v>
      </c>
      <c r="BP24" s="77">
        <f t="shared" si="2"/>
        <v>5.0083687395390757E-2</v>
      </c>
      <c r="BQ24" s="78">
        <f t="shared" si="3"/>
        <v>720.49023154739882</v>
      </c>
      <c r="BR24" s="102">
        <f t="shared" si="37"/>
        <v>720.49023154738916</v>
      </c>
      <c r="BS24" s="78">
        <f>BS23+BQ24</f>
        <v>17245.416947130074</v>
      </c>
      <c r="BU24" s="21">
        <v>3257</v>
      </c>
      <c r="BV24" s="31">
        <f t="shared" si="30"/>
        <v>0.10483455645680442</v>
      </c>
      <c r="BW24" s="32">
        <f t="shared" si="4"/>
        <v>1508.1212623071194</v>
      </c>
      <c r="BX24" s="32">
        <f t="shared" si="39"/>
        <v>1508.1212623071206</v>
      </c>
      <c r="BY24" s="32">
        <f t="shared" si="40"/>
        <v>11532.697667789111</v>
      </c>
      <c r="CB24" s="23" t="s">
        <v>21</v>
      </c>
      <c r="CC24" s="21">
        <v>31068</v>
      </c>
      <c r="CD24" s="21">
        <v>3257</v>
      </c>
      <c r="CE24" s="31">
        <f t="shared" si="31"/>
        <v>0.8951654435431956</v>
      </c>
      <c r="CF24" s="34">
        <f t="shared" si="5"/>
        <v>0</v>
      </c>
      <c r="CG24" s="32">
        <f>CG23*CF23</f>
        <v>18085.320662112295</v>
      </c>
      <c r="CH24" s="31">
        <f t="shared" si="32"/>
        <v>0.290438970190944</v>
      </c>
      <c r="CI24" s="32">
        <f t="shared" si="33"/>
        <v>18085.320662112295</v>
      </c>
      <c r="CJ24" s="32">
        <f>CI24/CH24</f>
        <v>62268.918837656041</v>
      </c>
      <c r="CK24" s="32">
        <f t="shared" si="42"/>
        <v>62268.918837654899</v>
      </c>
      <c r="CL24" s="32">
        <f t="shared" si="35"/>
        <v>3.4430641292473565</v>
      </c>
    </row>
    <row r="25" spans="1:90" x14ac:dyDescent="0.55000000000000004">
      <c r="A25" s="23" t="s">
        <v>46</v>
      </c>
      <c r="B25" s="21">
        <v>24171412.603943001</v>
      </c>
      <c r="C25" s="21">
        <v>24133300.559142001</v>
      </c>
      <c r="D25" s="64">
        <v>3037</v>
      </c>
      <c r="E25" s="64">
        <v>27860</v>
      </c>
      <c r="F25" s="64">
        <v>8062</v>
      </c>
      <c r="G25" s="64">
        <v>45494</v>
      </c>
      <c r="H25" s="64">
        <v>1187</v>
      </c>
      <c r="I25" s="64">
        <v>8555</v>
      </c>
      <c r="J25" s="64">
        <v>14547</v>
      </c>
      <c r="K25" s="64">
        <v>16920</v>
      </c>
      <c r="L25" s="64">
        <v>63907</v>
      </c>
      <c r="M25" s="64">
        <v>18588</v>
      </c>
      <c r="N25" s="64">
        <v>10427</v>
      </c>
      <c r="O25" s="64">
        <v>1255</v>
      </c>
      <c r="P25" s="64">
        <v>3496</v>
      </c>
      <c r="Q25" s="64">
        <v>9047</v>
      </c>
      <c r="R25" s="65">
        <v>10</v>
      </c>
      <c r="S25" s="65">
        <v>232</v>
      </c>
      <c r="T25" s="65">
        <v>390</v>
      </c>
      <c r="U25" s="64">
        <v>5277</v>
      </c>
      <c r="V25" s="64">
        <v>5821</v>
      </c>
      <c r="W25" s="66">
        <f t="shared" si="0"/>
        <v>244112</v>
      </c>
      <c r="X25" s="67">
        <f t="shared" si="6"/>
        <v>24152356.581542499</v>
      </c>
      <c r="Y25" s="21">
        <f>W25/X25*1000</f>
        <v>10.107171081870872</v>
      </c>
      <c r="AA25" s="23" t="s">
        <v>46</v>
      </c>
      <c r="AB25" s="31">
        <f t="shared" si="8"/>
        <v>0.12574342341073705</v>
      </c>
      <c r="AC25" s="80">
        <f t="shared" si="9"/>
        <v>1.1535106276664913</v>
      </c>
      <c r="AD25" s="31">
        <f t="shared" si="10"/>
        <v>0.33379765542883177</v>
      </c>
      <c r="AE25" s="80">
        <f t="shared" si="11"/>
        <v>1.8836257176977513</v>
      </c>
      <c r="AF25" s="31">
        <f t="shared" si="12"/>
        <v>4.9146342966264363E-2</v>
      </c>
      <c r="AG25" s="31">
        <f t="shared" si="13"/>
        <v>0.35420974227160207</v>
      </c>
      <c r="AH25" s="31">
        <f t="shared" si="14"/>
        <v>0.60230147525715894</v>
      </c>
      <c r="AI25" s="31">
        <f t="shared" si="15"/>
        <v>0.7005527573624204</v>
      </c>
      <c r="AJ25" s="80">
        <f t="shared" si="16"/>
        <v>2.6459943891702244</v>
      </c>
      <c r="AK25" s="31">
        <f t="shared" si="17"/>
        <v>0.76961434124424766</v>
      </c>
      <c r="AL25" s="31">
        <f t="shared" si="18"/>
        <v>0.43171770691595496</v>
      </c>
      <c r="AM25" s="31">
        <f t="shared" si="19"/>
        <v>5.1961803220439577E-2</v>
      </c>
      <c r="AN25" s="31">
        <f t="shared" si="20"/>
        <v>0.14474778012641973</v>
      </c>
      <c r="AO25" s="31">
        <f t="shared" si="21"/>
        <v>0.37458042528710506</v>
      </c>
      <c r="AP25" s="31">
        <f t="shared" si="22"/>
        <v>4.1403827267282527E-4</v>
      </c>
      <c r="AQ25" s="31">
        <f t="shared" si="23"/>
        <v>9.6056879260095467E-3</v>
      </c>
      <c r="AR25" s="31">
        <f t="shared" si="24"/>
        <v>1.6147492634240188E-2</v>
      </c>
      <c r="AS25" s="31">
        <f t="shared" si="25"/>
        <v>0.21848799648944991</v>
      </c>
      <c r="AT25" s="31">
        <f t="shared" si="26"/>
        <v>0.2410116785228516</v>
      </c>
      <c r="AV25" s="23" t="s">
        <v>46</v>
      </c>
      <c r="AW25" s="67">
        <v>24152356.581542499</v>
      </c>
      <c r="AX25" s="21">
        <f>SUM(AX4:AX24)</f>
        <v>244112</v>
      </c>
      <c r="AY25" s="54"/>
      <c r="AZ25" s="54"/>
      <c r="BA25" s="54"/>
      <c r="BB25" s="54"/>
      <c r="BC25" s="54"/>
      <c r="BD25" s="54"/>
      <c r="BE25" s="54"/>
      <c r="BF25" s="54"/>
      <c r="BG25" s="54"/>
      <c r="BI25" s="34">
        <v>63907</v>
      </c>
      <c r="BJ25" s="72"/>
      <c r="BK25" s="71"/>
      <c r="BL25" s="71"/>
      <c r="BN25" s="74"/>
      <c r="BO25" s="92">
        <v>45494</v>
      </c>
      <c r="BP25" s="74"/>
      <c r="BQ25" s="3"/>
      <c r="BU25" s="21">
        <v>27860</v>
      </c>
      <c r="CB25" s="23" t="s">
        <v>46</v>
      </c>
      <c r="CC25" s="21">
        <v>244112</v>
      </c>
      <c r="CD25" s="21">
        <v>27860</v>
      </c>
    </row>
    <row r="27" spans="1:90" x14ac:dyDescent="0.55000000000000004">
      <c r="AA27" s="23" t="s">
        <v>116</v>
      </c>
      <c r="AB27" s="31">
        <f>D25/$W$25*1000</f>
        <v>12.441010683620632</v>
      </c>
      <c r="AC27" s="80">
        <f t="shared" ref="AC27:AT27" si="43">E25/$W$25*1000</f>
        <v>114.12794127285835</v>
      </c>
      <c r="AD27" s="31">
        <f t="shared" si="43"/>
        <v>33.02582421183719</v>
      </c>
      <c r="AE27" s="80">
        <f t="shared" si="43"/>
        <v>186.36527495575803</v>
      </c>
      <c r="AF27" s="31">
        <f t="shared" si="43"/>
        <v>4.862522120993642</v>
      </c>
      <c r="AG27" s="31">
        <f t="shared" si="43"/>
        <v>35.045389001769678</v>
      </c>
      <c r="AH27" s="31">
        <f t="shared" si="43"/>
        <v>59.591498984072885</v>
      </c>
      <c r="AI27" s="31">
        <f t="shared" si="43"/>
        <v>69.312446745756034</v>
      </c>
      <c r="AJ27" s="80">
        <f t="shared" si="43"/>
        <v>261.79376679556924</v>
      </c>
      <c r="AK27" s="31">
        <f t="shared" si="43"/>
        <v>76.145375893032707</v>
      </c>
      <c r="AL27" s="31">
        <f t="shared" si="43"/>
        <v>42.714000131087374</v>
      </c>
      <c r="AM27" s="31">
        <f t="shared" si="43"/>
        <v>5.1410827816739859</v>
      </c>
      <c r="AN27" s="31">
        <f t="shared" si="43"/>
        <v>14.321295143212952</v>
      </c>
      <c r="AO27" s="31">
        <f t="shared" si="43"/>
        <v>37.060857311398046</v>
      </c>
      <c r="AP27" s="31">
        <f t="shared" si="43"/>
        <v>4.0964803041226974E-2</v>
      </c>
      <c r="AQ27" s="31">
        <f t="shared" si="43"/>
        <v>0.9503834305564659</v>
      </c>
      <c r="AR27" s="31">
        <f t="shared" si="43"/>
        <v>1.5976273186078522</v>
      </c>
      <c r="AS27" s="31">
        <f t="shared" si="43"/>
        <v>21.617126564855475</v>
      </c>
      <c r="AT27" s="31">
        <f t="shared" si="43"/>
        <v>23.845611850298223</v>
      </c>
      <c r="BR27" s="107" t="s">
        <v>120</v>
      </c>
      <c r="CC27" t="s">
        <v>92</v>
      </c>
    </row>
    <row r="28" spans="1:90" x14ac:dyDescent="0.55000000000000004">
      <c r="BR28" s="108">
        <f>BR4/100000</f>
        <v>0.17245416947130074</v>
      </c>
      <c r="CC28" t="s">
        <v>93</v>
      </c>
    </row>
  </sheetData>
  <mergeCells count="8">
    <mergeCell ref="BI1:BY1"/>
    <mergeCell ref="CB2:CL2"/>
    <mergeCell ref="AB2:AT2"/>
    <mergeCell ref="D2:V2"/>
    <mergeCell ref="AV2:BG2"/>
    <mergeCell ref="BI2:BM2"/>
    <mergeCell ref="BO2:BS2"/>
    <mergeCell ref="BU2:BY2"/>
  </mergeCells>
  <pageMargins left="0.7" right="0.7" top="0.75" bottom="0.75" header="0.3" footer="0.3"/>
  <pageSetup paperSize="9" orientation="portrait" r:id="rId1"/>
  <ignoredErrors>
    <ignoredError sqref="W4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57945-7DC1-4658-923C-1522E7BA2380}">
  <dimension ref="A1:CO28"/>
  <sheetViews>
    <sheetView topLeftCell="BZ1" zoomScaleNormal="100" workbookViewId="0">
      <selection activeCell="CO8" sqref="CO8"/>
    </sheetView>
  </sheetViews>
  <sheetFormatPr defaultRowHeight="14.4" x14ac:dyDescent="0.55000000000000004"/>
  <cols>
    <col min="1" max="1" width="7.89453125" customWidth="1"/>
    <col min="2" max="2" width="11.5234375" customWidth="1"/>
    <col min="3" max="3" width="12.89453125" customWidth="1"/>
    <col min="4" max="4" width="10.89453125" customWidth="1"/>
    <col min="5" max="5" width="11.1015625" customWidth="1"/>
    <col min="6" max="6" width="11.68359375" customWidth="1"/>
    <col min="7" max="7" width="11.3125" bestFit="1" customWidth="1"/>
    <col min="8" max="8" width="13.89453125" customWidth="1"/>
    <col min="9" max="9" width="13" customWidth="1"/>
    <col min="10" max="10" width="10.3125" bestFit="1" customWidth="1"/>
    <col min="11" max="11" width="11.3125" bestFit="1" customWidth="1"/>
    <col min="12" max="12" width="12.41796875" customWidth="1"/>
    <col min="13" max="13" width="11" customWidth="1"/>
    <col min="14" max="14" width="12.89453125" customWidth="1"/>
    <col min="15" max="15" width="14.20703125" customWidth="1"/>
    <col min="16" max="16" width="15.1015625" customWidth="1"/>
    <col min="17" max="17" width="14.41796875" customWidth="1"/>
    <col min="18" max="18" width="13" customWidth="1"/>
    <col min="19" max="19" width="12.68359375" customWidth="1"/>
    <col min="20" max="20" width="13.5234375" customWidth="1"/>
    <col min="21" max="21" width="10.68359375" customWidth="1"/>
    <col min="22" max="22" width="16" customWidth="1"/>
    <col min="24" max="24" width="12" customWidth="1"/>
    <col min="25" max="25" width="10.5234375" customWidth="1"/>
    <col min="27" max="27" width="7.41796875" customWidth="1"/>
    <col min="28" max="28" width="12" customWidth="1"/>
    <col min="29" max="29" width="11.5234375" customWidth="1"/>
    <col min="30" max="30" width="12.41796875" customWidth="1"/>
    <col min="31" max="31" width="10.41796875" bestFit="1" customWidth="1"/>
    <col min="32" max="32" width="13.1015625" customWidth="1"/>
    <col min="33" max="33" width="13" customWidth="1"/>
    <col min="34" max="36" width="10.41796875" bestFit="1" customWidth="1"/>
    <col min="37" max="37" width="11.41796875" customWidth="1"/>
    <col min="38" max="38" width="13.1015625" customWidth="1"/>
    <col min="39" max="39" width="12.7890625" customWidth="1"/>
    <col min="40" max="40" width="14.5234375" customWidth="1"/>
    <col min="41" max="41" width="14.41796875" customWidth="1"/>
    <col min="42" max="42" width="13.3125" customWidth="1"/>
    <col min="43" max="43" width="10.41796875" customWidth="1"/>
    <col min="44" max="44" width="13.41796875" customWidth="1"/>
    <col min="45" max="45" width="10.41796875" bestFit="1" customWidth="1"/>
    <col min="46" max="47" width="15.89453125" customWidth="1"/>
    <col min="48" max="48" width="7" customWidth="1"/>
    <col min="49" max="49" width="14.1015625" customWidth="1"/>
    <col min="50" max="50" width="9.89453125" customWidth="1"/>
    <col min="51" max="51" width="15.89453125" customWidth="1"/>
    <col min="52" max="52" width="10.41796875" customWidth="1"/>
    <col min="53" max="54" width="15.89453125" customWidth="1"/>
    <col min="55" max="55" width="11.89453125" customWidth="1"/>
    <col min="56" max="56" width="12.68359375" customWidth="1"/>
    <col min="57" max="57" width="13.89453125" customWidth="1"/>
    <col min="58" max="58" width="15.89453125" customWidth="1"/>
    <col min="59" max="59" width="10.41796875" customWidth="1"/>
    <col min="61" max="65" width="10.41796875" customWidth="1"/>
    <col min="66" max="66" width="9.5234375" customWidth="1"/>
    <col min="68" max="68" width="10.68359375" customWidth="1"/>
    <col min="69" max="69" width="10.41796875" customWidth="1"/>
    <col min="70" max="70" width="14.20703125" bestFit="1" customWidth="1"/>
    <col min="71" max="71" width="11" customWidth="1"/>
    <col min="72" max="72" width="10.47265625" customWidth="1"/>
    <col min="75" max="75" width="12" bestFit="1" customWidth="1"/>
    <col min="76" max="76" width="10.20703125" customWidth="1"/>
    <col min="77" max="77" width="12" customWidth="1"/>
    <col min="78" max="79" width="12.1015625" customWidth="1"/>
    <col min="80" max="80" width="12.1015625" style="119" customWidth="1"/>
    <col min="81" max="81" width="7.3125" customWidth="1"/>
    <col min="84" max="84" width="9.5234375" customWidth="1"/>
    <col min="85" max="86" width="9.89453125" customWidth="1"/>
    <col min="87" max="87" width="10.1015625" customWidth="1"/>
    <col min="88" max="88" width="10.41796875" customWidth="1"/>
    <col min="89" max="89" width="13.41796875" customWidth="1"/>
    <col min="90" max="90" width="13.1015625" customWidth="1"/>
  </cols>
  <sheetData>
    <row r="1" spans="1:93" ht="25.8" x14ac:dyDescent="0.95">
      <c r="A1" s="169" t="s">
        <v>74</v>
      </c>
      <c r="B1" s="169"/>
      <c r="C1" s="169"/>
      <c r="D1" s="169"/>
      <c r="BI1" s="162" t="s">
        <v>81</v>
      </c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00"/>
      <c r="CB1" s="113"/>
    </row>
    <row r="2" spans="1:93" x14ac:dyDescent="0.55000000000000004">
      <c r="D2" s="170" t="s">
        <v>71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AB2" s="170" t="s">
        <v>72</v>
      </c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24"/>
      <c r="AV2" s="170" t="s">
        <v>69</v>
      </c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I2" s="168" t="s">
        <v>78</v>
      </c>
      <c r="BJ2" s="168"/>
      <c r="BK2" s="168"/>
      <c r="BL2" s="168"/>
      <c r="BM2" s="168"/>
      <c r="BN2" s="49"/>
      <c r="BO2" s="168" t="s">
        <v>79</v>
      </c>
      <c r="BP2" s="168"/>
      <c r="BQ2" s="168"/>
      <c r="BR2" s="168"/>
      <c r="BS2" s="168"/>
      <c r="BT2" s="76"/>
      <c r="BU2" s="76"/>
      <c r="BV2" s="168" t="s">
        <v>80</v>
      </c>
      <c r="BW2" s="168"/>
      <c r="BX2" s="168"/>
      <c r="BY2" s="168"/>
      <c r="BZ2" s="168"/>
      <c r="CA2" s="97"/>
      <c r="CB2" s="114"/>
      <c r="CC2" s="163" t="s">
        <v>91</v>
      </c>
      <c r="CD2" s="163"/>
      <c r="CE2" s="163"/>
      <c r="CF2" s="163"/>
      <c r="CG2" s="163"/>
      <c r="CH2" s="163"/>
      <c r="CI2" s="163"/>
      <c r="CJ2" s="163"/>
      <c r="CK2" s="163"/>
      <c r="CL2" s="163"/>
      <c r="CM2" s="163"/>
    </row>
    <row r="3" spans="1:93" s="57" customFormat="1" ht="129.6" x14ac:dyDescent="0.55000000000000004">
      <c r="A3" s="55" t="s">
        <v>66</v>
      </c>
      <c r="B3" s="55" t="s">
        <v>63</v>
      </c>
      <c r="C3" s="55" t="s">
        <v>62</v>
      </c>
      <c r="D3" s="55" t="s">
        <v>40</v>
      </c>
      <c r="E3" s="55" t="s">
        <v>41</v>
      </c>
      <c r="F3" s="55" t="s">
        <v>73</v>
      </c>
      <c r="G3" s="55" t="s">
        <v>24</v>
      </c>
      <c r="H3" s="55" t="s">
        <v>25</v>
      </c>
      <c r="I3" s="55" t="s">
        <v>26</v>
      </c>
      <c r="J3" s="55" t="s">
        <v>27</v>
      </c>
      <c r="K3" s="55" t="s">
        <v>28</v>
      </c>
      <c r="L3" s="55" t="s">
        <v>29</v>
      </c>
      <c r="M3" s="55" t="s">
        <v>30</v>
      </c>
      <c r="N3" s="55" t="s">
        <v>31</v>
      </c>
      <c r="O3" s="55" t="s">
        <v>32</v>
      </c>
      <c r="P3" s="55" t="s">
        <v>33</v>
      </c>
      <c r="Q3" s="55" t="s">
        <v>34</v>
      </c>
      <c r="R3" s="55" t="s">
        <v>35</v>
      </c>
      <c r="S3" s="55" t="s">
        <v>36</v>
      </c>
      <c r="T3" s="55" t="s">
        <v>37</v>
      </c>
      <c r="U3" s="55" t="s">
        <v>38</v>
      </c>
      <c r="V3" s="55" t="s">
        <v>39</v>
      </c>
      <c r="W3" s="55" t="s">
        <v>64</v>
      </c>
      <c r="X3" s="55" t="s">
        <v>65</v>
      </c>
      <c r="Y3" s="55" t="s">
        <v>97</v>
      </c>
      <c r="AA3" s="55" t="s">
        <v>66</v>
      </c>
      <c r="AB3" s="55" t="s">
        <v>40</v>
      </c>
      <c r="AC3" s="55" t="s">
        <v>41</v>
      </c>
      <c r="AD3" s="55" t="s">
        <v>73</v>
      </c>
      <c r="AE3" s="55" t="s">
        <v>24</v>
      </c>
      <c r="AF3" s="55" t="s">
        <v>25</v>
      </c>
      <c r="AG3" s="55" t="s">
        <v>26</v>
      </c>
      <c r="AH3" s="55" t="s">
        <v>27</v>
      </c>
      <c r="AI3" s="55" t="s">
        <v>28</v>
      </c>
      <c r="AJ3" s="55" t="s">
        <v>29</v>
      </c>
      <c r="AK3" s="55" t="s">
        <v>30</v>
      </c>
      <c r="AL3" s="55" t="s">
        <v>31</v>
      </c>
      <c r="AM3" s="55" t="s">
        <v>32</v>
      </c>
      <c r="AN3" s="55" t="s">
        <v>33</v>
      </c>
      <c r="AO3" s="55" t="s">
        <v>34</v>
      </c>
      <c r="AP3" s="55" t="s">
        <v>35</v>
      </c>
      <c r="AQ3" s="55" t="s">
        <v>36</v>
      </c>
      <c r="AR3" s="55" t="s">
        <v>37</v>
      </c>
      <c r="AS3" s="55" t="s">
        <v>38</v>
      </c>
      <c r="AT3" s="55" t="s">
        <v>39</v>
      </c>
      <c r="AU3" s="70"/>
      <c r="AV3" s="55" t="s">
        <v>66</v>
      </c>
      <c r="AW3" s="55" t="s">
        <v>65</v>
      </c>
      <c r="AX3" s="55" t="s">
        <v>47</v>
      </c>
      <c r="AY3" s="55" t="s">
        <v>48</v>
      </c>
      <c r="AZ3" s="55" t="s">
        <v>76</v>
      </c>
      <c r="BA3" s="55" t="s">
        <v>49</v>
      </c>
      <c r="BB3" s="55" t="s">
        <v>50</v>
      </c>
      <c r="BC3" s="55" t="s">
        <v>51</v>
      </c>
      <c r="BD3" s="55" t="s">
        <v>52</v>
      </c>
      <c r="BE3" s="55" t="s">
        <v>53</v>
      </c>
      <c r="BF3" s="55" t="s">
        <v>54</v>
      </c>
      <c r="BG3" s="55" t="s">
        <v>114</v>
      </c>
      <c r="BI3" s="75" t="s">
        <v>47</v>
      </c>
      <c r="BJ3" s="75" t="s">
        <v>49</v>
      </c>
      <c r="BK3" s="75" t="s">
        <v>52</v>
      </c>
      <c r="BL3" s="75" t="s">
        <v>51</v>
      </c>
      <c r="BM3" s="75" t="s">
        <v>98</v>
      </c>
      <c r="BN3" s="109" t="s">
        <v>121</v>
      </c>
      <c r="BO3" s="75" t="s">
        <v>47</v>
      </c>
      <c r="BP3" s="75" t="s">
        <v>49</v>
      </c>
      <c r="BQ3" s="75" t="s">
        <v>52</v>
      </c>
      <c r="BR3" s="75" t="s">
        <v>51</v>
      </c>
      <c r="BS3" s="75" t="s">
        <v>98</v>
      </c>
      <c r="BT3" s="109" t="s">
        <v>120</v>
      </c>
      <c r="BU3" s="110"/>
      <c r="BV3" s="75" t="s">
        <v>47</v>
      </c>
      <c r="BW3" s="75" t="s">
        <v>49</v>
      </c>
      <c r="BX3" s="75" t="s">
        <v>52</v>
      </c>
      <c r="BY3" s="75" t="s">
        <v>51</v>
      </c>
      <c r="BZ3" s="75" t="s">
        <v>98</v>
      </c>
      <c r="CA3" s="109" t="s">
        <v>121</v>
      </c>
      <c r="CB3" s="117"/>
      <c r="CC3" s="82" t="s">
        <v>66</v>
      </c>
      <c r="CD3" s="82" t="s">
        <v>47</v>
      </c>
      <c r="CE3" s="82" t="s">
        <v>90</v>
      </c>
      <c r="CF3" s="82" t="s">
        <v>84</v>
      </c>
      <c r="CG3" s="82" t="s">
        <v>85</v>
      </c>
      <c r="CH3" s="82" t="s">
        <v>83</v>
      </c>
      <c r="CI3" s="82" t="s">
        <v>86</v>
      </c>
      <c r="CJ3" s="82" t="s">
        <v>87</v>
      </c>
      <c r="CK3" s="82" t="s">
        <v>88</v>
      </c>
      <c r="CL3" s="82" t="s">
        <v>89</v>
      </c>
      <c r="CM3" s="82" t="s">
        <v>115</v>
      </c>
      <c r="CN3" s="104" t="s">
        <v>118</v>
      </c>
      <c r="CO3" s="104" t="s">
        <v>119</v>
      </c>
    </row>
    <row r="4" spans="1:93" x14ac:dyDescent="0.55000000000000004">
      <c r="A4" s="96">
        <v>0</v>
      </c>
      <c r="B4" s="67">
        <v>174641</v>
      </c>
      <c r="C4" s="67">
        <v>185084</v>
      </c>
      <c r="D4" s="101">
        <v>7</v>
      </c>
      <c r="E4" s="101">
        <v>1</v>
      </c>
      <c r="F4" s="101">
        <v>0</v>
      </c>
      <c r="G4" s="101">
        <v>5</v>
      </c>
      <c r="H4" s="101">
        <v>4</v>
      </c>
      <c r="I4" s="101">
        <v>12</v>
      </c>
      <c r="J4" s="101">
        <v>0</v>
      </c>
      <c r="K4" s="101">
        <v>16</v>
      </c>
      <c r="L4" s="101">
        <v>7</v>
      </c>
      <c r="M4" s="101">
        <v>1</v>
      </c>
      <c r="N4" s="101">
        <v>2</v>
      </c>
      <c r="O4" s="101">
        <v>0</v>
      </c>
      <c r="P4" s="101">
        <v>0</v>
      </c>
      <c r="Q4" s="101">
        <v>0</v>
      </c>
      <c r="R4" s="101">
        <v>0</v>
      </c>
      <c r="S4" s="101">
        <v>272</v>
      </c>
      <c r="T4" s="101">
        <v>127</v>
      </c>
      <c r="U4" s="101">
        <v>27</v>
      </c>
      <c r="V4" s="101">
        <v>15</v>
      </c>
      <c r="W4" s="66">
        <f t="shared" ref="W4:W25" si="0">SUM(D4:V4)</f>
        <v>496</v>
      </c>
      <c r="X4" s="67">
        <f>AVERAGE(B4:C4)</f>
        <v>179862.5</v>
      </c>
      <c r="Y4" s="31">
        <f>W4/X4*1000</f>
        <v>2.7576621029953436</v>
      </c>
      <c r="AA4" s="96">
        <v>0</v>
      </c>
      <c r="AB4" s="31">
        <f>D4*1000/$X4</f>
        <v>3.8918618389047185E-2</v>
      </c>
      <c r="AC4" s="31">
        <f t="shared" ref="AC4:AT18" si="1">E4*1000/$X4</f>
        <v>5.5598026270067416E-3</v>
      </c>
      <c r="AD4" s="34">
        <f t="shared" si="1"/>
        <v>0</v>
      </c>
      <c r="AE4" s="31">
        <f t="shared" si="1"/>
        <v>2.7799013135033707E-2</v>
      </c>
      <c r="AF4" s="31">
        <f t="shared" si="1"/>
        <v>2.2239210508026967E-2</v>
      </c>
      <c r="AG4" s="31">
        <f t="shared" si="1"/>
        <v>6.6717631524080889E-2</v>
      </c>
      <c r="AH4" s="34">
        <f t="shared" si="1"/>
        <v>0</v>
      </c>
      <c r="AI4" s="31">
        <f t="shared" si="1"/>
        <v>8.8956842032107866E-2</v>
      </c>
      <c r="AJ4" s="31">
        <f t="shared" si="1"/>
        <v>3.8918618389047185E-2</v>
      </c>
      <c r="AK4" s="31">
        <f t="shared" si="1"/>
        <v>5.5598026270067416E-3</v>
      </c>
      <c r="AL4" s="31">
        <f t="shared" si="1"/>
        <v>1.1119605254013483E-2</v>
      </c>
      <c r="AM4" s="34">
        <f t="shared" si="1"/>
        <v>0</v>
      </c>
      <c r="AN4" s="34">
        <f t="shared" si="1"/>
        <v>0</v>
      </c>
      <c r="AO4" s="34">
        <f t="shared" si="1"/>
        <v>0</v>
      </c>
      <c r="AP4" s="34">
        <f t="shared" si="1"/>
        <v>0</v>
      </c>
      <c r="AQ4" s="31">
        <f t="shared" si="1"/>
        <v>1.5122663145458337</v>
      </c>
      <c r="AR4" s="31">
        <f t="shared" si="1"/>
        <v>0.70609493362985609</v>
      </c>
      <c r="AS4" s="31">
        <f t="shared" si="1"/>
        <v>0.15011467092918201</v>
      </c>
      <c r="AT4" s="31">
        <f t="shared" si="1"/>
        <v>8.3397039405101125E-2</v>
      </c>
      <c r="AU4" s="72"/>
      <c r="AV4" s="96">
        <v>0</v>
      </c>
      <c r="AW4" s="67">
        <v>179862.5</v>
      </c>
      <c r="AX4" s="34">
        <v>496</v>
      </c>
      <c r="AY4" s="31">
        <v>2.7576621029953437E-3</v>
      </c>
      <c r="AZ4" s="31">
        <v>5.2401565084439501E-2</v>
      </c>
      <c r="BA4" s="31">
        <v>2.7504746827698096E-3</v>
      </c>
      <c r="BB4" s="31">
        <v>0.99724952531723021</v>
      </c>
      <c r="BC4" s="34">
        <v>100000</v>
      </c>
      <c r="BD4" s="32">
        <v>275.04746827698096</v>
      </c>
      <c r="BE4" s="32">
        <v>99739.365449533245</v>
      </c>
      <c r="BF4" s="32">
        <v>7946440.5898336433</v>
      </c>
      <c r="BG4" s="32">
        <v>79.464405898336437</v>
      </c>
      <c r="BI4" s="34">
        <v>11</v>
      </c>
      <c r="BJ4" s="31">
        <f>BA4*BI4/AX4</f>
        <v>6.0998430464653039E-5</v>
      </c>
      <c r="BK4" s="32">
        <f>BJ4*BC4</f>
        <v>6.0998430464653035</v>
      </c>
      <c r="BL4" s="32">
        <f>SUM(BK4:BK24)</f>
        <v>27852.884554842163</v>
      </c>
      <c r="BM4" s="32">
        <f>BK4</f>
        <v>6.0998430464653035</v>
      </c>
      <c r="BN4" s="112">
        <f>BL4/100000</f>
        <v>0.27852884554842161</v>
      </c>
      <c r="BO4" s="101">
        <v>5</v>
      </c>
      <c r="BP4" s="77">
        <f t="shared" ref="BP4:BP24" si="2">BA4*BO4/AX4</f>
        <v>2.7726559302115013E-5</v>
      </c>
      <c r="BQ4" s="78">
        <f>BP4*BC4</f>
        <v>2.7726559302115015</v>
      </c>
      <c r="BR4" s="102">
        <f>SUM(BQ4:BQ24)</f>
        <v>25784.76691148457</v>
      </c>
      <c r="BS4" s="78">
        <f>BQ4</f>
        <v>2.7726559302115015</v>
      </c>
      <c r="BT4" s="112">
        <f>BR4/BC4</f>
        <v>0.25784766911484569</v>
      </c>
      <c r="BU4" s="111"/>
      <c r="BV4" s="101">
        <v>1</v>
      </c>
      <c r="BW4" s="31">
        <f t="shared" ref="BW4:BW24" si="3">BA4*BV4/AX4</f>
        <v>5.5453118604230035E-6</v>
      </c>
      <c r="BX4" s="32">
        <f t="shared" ref="BX4:BX24" si="4">BW4*BC4</f>
        <v>0.55453118604230034</v>
      </c>
      <c r="BY4" s="34">
        <f>SUM(BX4:BX24)</f>
        <v>13338.187726147826</v>
      </c>
      <c r="BZ4" s="32">
        <f>BX4</f>
        <v>0.55453118604230034</v>
      </c>
      <c r="CA4" s="112">
        <f>BY4/100000</f>
        <v>0.13338187726147827</v>
      </c>
      <c r="CB4" s="118"/>
      <c r="CC4" s="96">
        <v>0</v>
      </c>
      <c r="CD4" s="81">
        <v>496</v>
      </c>
      <c r="CE4" s="65">
        <v>1</v>
      </c>
      <c r="CF4" s="31">
        <f>(CD4-CE4)/CD4</f>
        <v>0.99798387096774188</v>
      </c>
      <c r="CG4" s="31">
        <f>BB4^CF4</f>
        <v>0.99725506301134448</v>
      </c>
      <c r="CH4" s="34">
        <v>100000</v>
      </c>
      <c r="CI4" s="31">
        <f>(Y4-AC4)/1000</f>
        <v>2.7521023003683367E-3</v>
      </c>
      <c r="CJ4" s="32">
        <f>CH4*(1-CG4)</f>
        <v>274.49369886555218</v>
      </c>
      <c r="CK4" s="32">
        <f>CJ4/CI4</f>
        <v>99739.642246879564</v>
      </c>
      <c r="CL4" s="32">
        <f>SUM(CK4:CK24)</f>
        <v>8072616.7648571972</v>
      </c>
      <c r="CM4" s="32">
        <f>CL4/CH4</f>
        <v>80.726167648571973</v>
      </c>
      <c r="CN4" s="69">
        <f>CM4-BG4</f>
        <v>1.2617617502355358</v>
      </c>
      <c r="CO4" s="99">
        <f>CN4/BG4</f>
        <v>1.5878326100490614E-2</v>
      </c>
    </row>
    <row r="5" spans="1:93" x14ac:dyDescent="0.55000000000000004">
      <c r="A5" s="96" t="s">
        <v>2</v>
      </c>
      <c r="B5" s="67">
        <v>815315.91082999995</v>
      </c>
      <c r="C5" s="67">
        <v>849797.84378399991</v>
      </c>
      <c r="D5" s="101">
        <v>1</v>
      </c>
      <c r="E5" s="101">
        <v>0</v>
      </c>
      <c r="F5" s="101">
        <v>1</v>
      </c>
      <c r="G5" s="101">
        <v>30</v>
      </c>
      <c r="H5" s="101">
        <v>0</v>
      </c>
      <c r="I5" s="101">
        <v>8</v>
      </c>
      <c r="J5" s="101">
        <v>0</v>
      </c>
      <c r="K5" s="101">
        <v>6</v>
      </c>
      <c r="L5" s="101">
        <v>7</v>
      </c>
      <c r="M5" s="101">
        <v>8</v>
      </c>
      <c r="N5" s="101">
        <v>3</v>
      </c>
      <c r="O5" s="101">
        <v>0</v>
      </c>
      <c r="P5" s="101">
        <v>0</v>
      </c>
      <c r="Q5" s="101">
        <v>0</v>
      </c>
      <c r="R5" s="101">
        <v>0</v>
      </c>
      <c r="S5" s="101">
        <v>2</v>
      </c>
      <c r="T5" s="101">
        <v>12</v>
      </c>
      <c r="U5" s="101">
        <v>4</v>
      </c>
      <c r="V5" s="101">
        <v>35</v>
      </c>
      <c r="W5" s="66">
        <f t="shared" si="0"/>
        <v>117</v>
      </c>
      <c r="X5" s="67">
        <f t="shared" ref="X5:X25" si="5">AVERAGE(B5:C5)</f>
        <v>832556.87730699987</v>
      </c>
      <c r="Y5" s="31">
        <f t="shared" ref="Y5:Y25" si="6">W5/X5*1000</f>
        <v>0.14053093931365968</v>
      </c>
      <c r="AA5" s="96" t="s">
        <v>2</v>
      </c>
      <c r="AB5" s="31">
        <f t="shared" ref="AB5:AE25" si="7">D5*1000/$X5</f>
        <v>1.2011191394329887E-3</v>
      </c>
      <c r="AC5" s="34">
        <f t="shared" si="1"/>
        <v>0</v>
      </c>
      <c r="AD5" s="31">
        <f t="shared" si="1"/>
        <v>1.2011191394329887E-3</v>
      </c>
      <c r="AE5" s="31">
        <f t="shared" si="1"/>
        <v>3.6033574182989657E-2</v>
      </c>
      <c r="AF5" s="34">
        <f t="shared" si="1"/>
        <v>0</v>
      </c>
      <c r="AG5" s="31">
        <f t="shared" si="1"/>
        <v>9.6089531154639092E-3</v>
      </c>
      <c r="AH5" s="34">
        <f t="shared" si="1"/>
        <v>0</v>
      </c>
      <c r="AI5" s="31">
        <f t="shared" si="1"/>
        <v>7.2067148365979319E-3</v>
      </c>
      <c r="AJ5" s="31">
        <f t="shared" si="1"/>
        <v>8.407833976030921E-3</v>
      </c>
      <c r="AK5" s="31">
        <f t="shared" si="1"/>
        <v>9.6089531154639092E-3</v>
      </c>
      <c r="AL5" s="31">
        <f t="shared" si="1"/>
        <v>3.603357418298966E-3</v>
      </c>
      <c r="AM5" s="34">
        <f t="shared" si="1"/>
        <v>0</v>
      </c>
      <c r="AN5" s="34">
        <f t="shared" si="1"/>
        <v>0</v>
      </c>
      <c r="AO5" s="34">
        <f t="shared" si="1"/>
        <v>0</v>
      </c>
      <c r="AP5" s="34">
        <f t="shared" si="1"/>
        <v>0</v>
      </c>
      <c r="AQ5" s="31">
        <f t="shared" si="1"/>
        <v>2.4022382788659773E-3</v>
      </c>
      <c r="AR5" s="31">
        <f t="shared" si="1"/>
        <v>1.4413429673195864E-2</v>
      </c>
      <c r="AS5" s="31">
        <f t="shared" si="1"/>
        <v>4.8044765577319546E-3</v>
      </c>
      <c r="AT5" s="31">
        <f t="shared" si="1"/>
        <v>4.2039169880154603E-2</v>
      </c>
      <c r="AU5" s="72"/>
      <c r="AV5" s="96" t="s">
        <v>2</v>
      </c>
      <c r="AW5" s="67">
        <v>832556.87730699987</v>
      </c>
      <c r="AX5" s="34">
        <v>117</v>
      </c>
      <c r="AY5" s="31">
        <v>1.4053093931365966E-4</v>
      </c>
      <c r="AZ5" s="31">
        <v>1.6432344235179652</v>
      </c>
      <c r="BA5" s="31">
        <v>5.6193764436085632E-4</v>
      </c>
      <c r="BB5" s="31">
        <v>0.99943806235563915</v>
      </c>
      <c r="BC5" s="32">
        <v>99724.952531723015</v>
      </c>
      <c r="BD5" s="32">
        <v>56.039204909674645</v>
      </c>
      <c r="BE5" s="32">
        <v>398767.73885782756</v>
      </c>
      <c r="BF5" s="32">
        <v>7846701.2243841104</v>
      </c>
      <c r="BG5" s="32">
        <v>78.683429023323271</v>
      </c>
      <c r="BI5" s="34">
        <v>1</v>
      </c>
      <c r="BJ5" s="31">
        <f t="shared" ref="BJ5:BJ24" si="8">BA5*BI5/AX5</f>
        <v>4.8028858492380883E-6</v>
      </c>
      <c r="BK5" s="32">
        <f t="shared" ref="BK5:BK24" si="9">BJ5*BC5</f>
        <v>0.47896756333055251</v>
      </c>
      <c r="BL5" s="32">
        <f>BL4-BK4</f>
        <v>27846.784711795699</v>
      </c>
      <c r="BM5" s="32">
        <f t="shared" ref="BM5:BM24" si="10">BM4+BK5</f>
        <v>6.5788106097958563</v>
      </c>
      <c r="BN5" s="74"/>
      <c r="BO5" s="101">
        <v>30</v>
      </c>
      <c r="BP5" s="77">
        <f t="shared" si="2"/>
        <v>1.4408657547714264E-4</v>
      </c>
      <c r="BQ5" s="78">
        <f t="shared" ref="BQ5:BQ24" si="11">BP5*BC5</f>
        <v>14.369026899916575</v>
      </c>
      <c r="BR5" s="102">
        <f>BR4-BQ4</f>
        <v>25781.99425555436</v>
      </c>
      <c r="BS5" s="78">
        <f>BS4+BQ5</f>
        <v>17.141682830128076</v>
      </c>
      <c r="BV5" s="101">
        <v>0</v>
      </c>
      <c r="BW5" s="34">
        <f t="shared" si="3"/>
        <v>0</v>
      </c>
      <c r="BX5" s="34">
        <f t="shared" si="4"/>
        <v>0</v>
      </c>
      <c r="BY5" s="32">
        <f>BY4-BX4</f>
        <v>13337.633194961783</v>
      </c>
      <c r="BZ5" s="32">
        <f>BZ4+BX5</f>
        <v>0.55453118604230034</v>
      </c>
      <c r="CA5" s="32"/>
      <c r="CB5" s="115"/>
      <c r="CC5" s="96" t="s">
        <v>2</v>
      </c>
      <c r="CD5" s="81">
        <v>117</v>
      </c>
      <c r="CE5" s="65">
        <v>0</v>
      </c>
      <c r="CF5" s="31">
        <f t="shared" ref="CF5:CF24" si="12">(CD5-CE5)/CD5</f>
        <v>1</v>
      </c>
      <c r="CG5" s="31">
        <f t="shared" ref="CG5:CG24" si="13">BB5^CF5</f>
        <v>0.99943806235563915</v>
      </c>
      <c r="CH5" s="67">
        <f>CH4*CG4</f>
        <v>99725.506301134446</v>
      </c>
      <c r="CI5" s="31">
        <f t="shared" ref="CI5:CI24" si="14">(Y5-AC5)/1000</f>
        <v>1.4053093931365969E-4</v>
      </c>
      <c r="CJ5" s="32">
        <f t="shared" ref="CJ5:CJ24" si="15">CH5*(1-CG5)</f>
        <v>56.039516093553075</v>
      </c>
      <c r="CK5" s="32">
        <f t="shared" ref="CK5:CK24" si="16">CJ5/CI5</f>
        <v>398769.9532020847</v>
      </c>
      <c r="CL5" s="32">
        <f>CL4-CK4</f>
        <v>7972877.1226103175</v>
      </c>
      <c r="CM5" s="32">
        <f>CL5/CH5</f>
        <v>79.948224063512427</v>
      </c>
    </row>
    <row r="6" spans="1:93" x14ac:dyDescent="0.55000000000000004">
      <c r="A6" s="96" t="s">
        <v>3</v>
      </c>
      <c r="B6" s="67">
        <v>1182656.165336</v>
      </c>
      <c r="C6" s="67">
        <v>1201414.9500189999</v>
      </c>
      <c r="D6" s="101">
        <v>1</v>
      </c>
      <c r="E6" s="101">
        <v>2</v>
      </c>
      <c r="F6" s="101">
        <v>0</v>
      </c>
      <c r="G6" s="101">
        <v>24</v>
      </c>
      <c r="H6" s="101">
        <v>0</v>
      </c>
      <c r="I6" s="101">
        <v>5</v>
      </c>
      <c r="J6" s="101">
        <v>0</v>
      </c>
      <c r="K6" s="101">
        <v>7</v>
      </c>
      <c r="L6" s="101">
        <v>3</v>
      </c>
      <c r="M6" s="101">
        <v>1</v>
      </c>
      <c r="N6" s="101">
        <v>3</v>
      </c>
      <c r="O6" s="101">
        <v>0</v>
      </c>
      <c r="P6" s="101">
        <v>0</v>
      </c>
      <c r="Q6" s="101">
        <v>0</v>
      </c>
      <c r="R6" s="101">
        <v>0</v>
      </c>
      <c r="S6" s="101">
        <v>0</v>
      </c>
      <c r="T6" s="101">
        <v>8</v>
      </c>
      <c r="U6" s="101">
        <v>1</v>
      </c>
      <c r="V6" s="101">
        <v>12</v>
      </c>
      <c r="W6" s="66">
        <f t="shared" si="0"/>
        <v>67</v>
      </c>
      <c r="X6" s="67">
        <f t="shared" si="5"/>
        <v>1192035.5576774999</v>
      </c>
      <c r="Y6" s="31">
        <f t="shared" si="6"/>
        <v>5.6206377040076985E-2</v>
      </c>
      <c r="AA6" s="96" t="s">
        <v>3</v>
      </c>
      <c r="AB6" s="31">
        <f t="shared" si="7"/>
        <v>8.3890114985189529E-4</v>
      </c>
      <c r="AC6" s="31">
        <f t="shared" si="1"/>
        <v>1.6778022997037906E-3</v>
      </c>
      <c r="AD6" s="34">
        <f t="shared" si="1"/>
        <v>0</v>
      </c>
      <c r="AE6" s="31">
        <f t="shared" si="1"/>
        <v>2.0133627596445488E-2</v>
      </c>
      <c r="AF6" s="34">
        <f t="shared" si="1"/>
        <v>0</v>
      </c>
      <c r="AG6" s="31">
        <f t="shared" si="1"/>
        <v>4.1945057492594768E-3</v>
      </c>
      <c r="AH6" s="34">
        <f t="shared" si="1"/>
        <v>0</v>
      </c>
      <c r="AI6" s="31">
        <f t="shared" si="1"/>
        <v>5.8723080489632672E-3</v>
      </c>
      <c r="AJ6" s="31">
        <f t="shared" si="1"/>
        <v>2.516703449555686E-3</v>
      </c>
      <c r="AK6" s="31">
        <f t="shared" si="1"/>
        <v>8.3890114985189529E-4</v>
      </c>
      <c r="AL6" s="31">
        <f t="shared" si="1"/>
        <v>2.516703449555686E-3</v>
      </c>
      <c r="AM6" s="34">
        <f t="shared" si="1"/>
        <v>0</v>
      </c>
      <c r="AN6" s="34">
        <f t="shared" si="1"/>
        <v>0</v>
      </c>
      <c r="AO6" s="34">
        <f t="shared" si="1"/>
        <v>0</v>
      </c>
      <c r="AP6" s="34">
        <f t="shared" si="1"/>
        <v>0</v>
      </c>
      <c r="AQ6" s="34">
        <f t="shared" si="1"/>
        <v>0</v>
      </c>
      <c r="AR6" s="31">
        <f t="shared" si="1"/>
        <v>6.7112091988151623E-3</v>
      </c>
      <c r="AS6" s="31">
        <f t="shared" si="1"/>
        <v>8.3890114985189529E-4</v>
      </c>
      <c r="AT6" s="31">
        <f t="shared" si="1"/>
        <v>1.0066813798222744E-2</v>
      </c>
      <c r="AU6" s="72"/>
      <c r="AV6" s="96" t="s">
        <v>3</v>
      </c>
      <c r="AW6" s="67">
        <v>1192035.5576774999</v>
      </c>
      <c r="AX6" s="34">
        <v>67</v>
      </c>
      <c r="AY6" s="31">
        <v>5.6206377040076986E-5</v>
      </c>
      <c r="AZ6" s="33">
        <v>2.5</v>
      </c>
      <c r="BA6" s="31">
        <v>2.809924012882544E-4</v>
      </c>
      <c r="BB6" s="31">
        <v>0.9997190075987118</v>
      </c>
      <c r="BC6" s="32">
        <v>99668.913326813345</v>
      </c>
      <c r="BD6" s="32">
        <v>28.006207289492181</v>
      </c>
      <c r="BE6" s="32">
        <v>498274.551115843</v>
      </c>
      <c r="BF6" s="32">
        <v>7447933.4855262833</v>
      </c>
      <c r="BG6" s="32">
        <v>74.726745149759836</v>
      </c>
      <c r="BI6" s="34">
        <v>3</v>
      </c>
      <c r="BJ6" s="31">
        <f t="shared" si="8"/>
        <v>1.2581749311414374E-5</v>
      </c>
      <c r="BK6" s="32">
        <f t="shared" si="9"/>
        <v>1.2540092816190527</v>
      </c>
      <c r="BL6" s="32">
        <f t="shared" ref="BL6:BL24" si="17">BL5-BK5</f>
        <v>27846.30574423237</v>
      </c>
      <c r="BM6" s="32">
        <f t="shared" si="10"/>
        <v>7.8328198914149088</v>
      </c>
      <c r="BN6" s="74"/>
      <c r="BO6" s="101">
        <v>24</v>
      </c>
      <c r="BP6" s="77">
        <f t="shared" si="2"/>
        <v>1.00653994491315E-4</v>
      </c>
      <c r="BQ6" s="78">
        <f t="shared" si="11"/>
        <v>10.032074252952421</v>
      </c>
      <c r="BR6" s="102">
        <f t="shared" ref="BR6:BR24" si="18">BR5-BQ5</f>
        <v>25767.625228654444</v>
      </c>
      <c r="BS6" s="78">
        <f t="shared" ref="BS6:BS23" si="19">BS5+BQ6</f>
        <v>27.173757083080496</v>
      </c>
      <c r="BV6" s="101">
        <v>2</v>
      </c>
      <c r="BW6" s="34">
        <f t="shared" si="3"/>
        <v>8.3878328742762513E-6</v>
      </c>
      <c r="BX6" s="34">
        <f t="shared" si="4"/>
        <v>0.8360061877460353</v>
      </c>
      <c r="BY6" s="32">
        <f t="shared" ref="BY6:BY24" si="20">BY5-BX5</f>
        <v>13337.633194961783</v>
      </c>
      <c r="BZ6" s="32">
        <f t="shared" ref="BZ6:BZ24" si="21">BZ5+BX6</f>
        <v>1.3905373737883355</v>
      </c>
      <c r="CA6" s="32"/>
      <c r="CB6" s="115"/>
      <c r="CC6" s="96" t="s">
        <v>3</v>
      </c>
      <c r="CD6" s="81">
        <v>67</v>
      </c>
      <c r="CE6" s="65">
        <v>2</v>
      </c>
      <c r="CF6" s="31">
        <f t="shared" si="12"/>
        <v>0.97014925373134331</v>
      </c>
      <c r="CG6" s="31">
        <f t="shared" si="13"/>
        <v>0.99972739428819501</v>
      </c>
      <c r="CH6" s="67">
        <f t="shared" ref="CH6:CH24" si="22">CH5*CG5</f>
        <v>99669.466785040888</v>
      </c>
      <c r="CI6" s="31">
        <f t="shared" si="14"/>
        <v>5.4528574740373197E-5</v>
      </c>
      <c r="CJ6" s="32">
        <f t="shared" si="15"/>
        <v>27.170465938159396</v>
      </c>
      <c r="CK6" s="32">
        <f t="shared" si="16"/>
        <v>498279.40795309772</v>
      </c>
      <c r="CL6" s="32">
        <f t="shared" ref="CL6:CL24" si="23">CL5-CK5</f>
        <v>7574107.1694082329</v>
      </c>
      <c r="CM6" s="32">
        <f t="shared" ref="CM6:CM24" si="24">CL6/CH6</f>
        <v>75.992251325508335</v>
      </c>
    </row>
    <row r="7" spans="1:93" x14ac:dyDescent="0.55000000000000004">
      <c r="A7" s="96" t="s">
        <v>5</v>
      </c>
      <c r="B7" s="67">
        <v>1310725.2894619999</v>
      </c>
      <c r="C7" s="67">
        <v>1308405.6781200001</v>
      </c>
      <c r="D7" s="101">
        <v>4</v>
      </c>
      <c r="E7" s="101">
        <v>0</v>
      </c>
      <c r="F7" s="101">
        <v>1</v>
      </c>
      <c r="G7" s="101">
        <v>39</v>
      </c>
      <c r="H7" s="101">
        <v>3</v>
      </c>
      <c r="I7" s="101">
        <v>5</v>
      </c>
      <c r="J7" s="101">
        <v>0</v>
      </c>
      <c r="K7" s="101">
        <v>16</v>
      </c>
      <c r="L7" s="101">
        <v>5</v>
      </c>
      <c r="M7" s="101">
        <v>4</v>
      </c>
      <c r="N7" s="101">
        <v>1</v>
      </c>
      <c r="O7" s="101">
        <v>0</v>
      </c>
      <c r="P7" s="101">
        <v>1</v>
      </c>
      <c r="Q7" s="101">
        <v>1</v>
      </c>
      <c r="R7" s="101">
        <v>0</v>
      </c>
      <c r="S7" s="101">
        <v>1</v>
      </c>
      <c r="T7" s="101">
        <v>4</v>
      </c>
      <c r="U7" s="101">
        <v>0</v>
      </c>
      <c r="V7" s="101">
        <v>24</v>
      </c>
      <c r="W7" s="66">
        <f t="shared" si="0"/>
        <v>109</v>
      </c>
      <c r="X7" s="67">
        <f t="shared" si="5"/>
        <v>1309565.483791</v>
      </c>
      <c r="Y7" s="31">
        <f t="shared" si="6"/>
        <v>8.3233714807800965E-2</v>
      </c>
      <c r="AA7" s="96" t="s">
        <v>5</v>
      </c>
      <c r="AB7" s="31">
        <f t="shared" si="7"/>
        <v>3.0544482498275588E-3</v>
      </c>
      <c r="AC7" s="34">
        <f t="shared" si="1"/>
        <v>0</v>
      </c>
      <c r="AD7" s="31">
        <f t="shared" si="1"/>
        <v>7.636120624568897E-4</v>
      </c>
      <c r="AE7" s="31">
        <f t="shared" si="1"/>
        <v>2.9780870435818698E-2</v>
      </c>
      <c r="AF7" s="31">
        <f t="shared" si="1"/>
        <v>2.290836187370669E-3</v>
      </c>
      <c r="AG7" s="31">
        <f t="shared" si="1"/>
        <v>3.8180603122844482E-3</v>
      </c>
      <c r="AH7" s="34">
        <f t="shared" si="1"/>
        <v>0</v>
      </c>
      <c r="AI7" s="31">
        <f t="shared" si="1"/>
        <v>1.2217792999310235E-2</v>
      </c>
      <c r="AJ7" s="31">
        <f t="shared" si="1"/>
        <v>3.8180603122844482E-3</v>
      </c>
      <c r="AK7" s="31">
        <f t="shared" si="1"/>
        <v>3.0544482498275588E-3</v>
      </c>
      <c r="AL7" s="31">
        <f t="shared" si="1"/>
        <v>7.636120624568897E-4</v>
      </c>
      <c r="AM7" s="34">
        <f t="shared" si="1"/>
        <v>0</v>
      </c>
      <c r="AN7" s="31">
        <f t="shared" si="1"/>
        <v>7.636120624568897E-4</v>
      </c>
      <c r="AO7" s="31">
        <f t="shared" si="1"/>
        <v>7.636120624568897E-4</v>
      </c>
      <c r="AP7" s="34">
        <f t="shared" si="1"/>
        <v>0</v>
      </c>
      <c r="AQ7" s="31">
        <f t="shared" si="1"/>
        <v>7.636120624568897E-4</v>
      </c>
      <c r="AR7" s="31">
        <f t="shared" si="1"/>
        <v>3.0544482498275588E-3</v>
      </c>
      <c r="AS7" s="34">
        <f t="shared" si="1"/>
        <v>0</v>
      </c>
      <c r="AT7" s="31">
        <f t="shared" si="1"/>
        <v>1.8326689498965352E-2</v>
      </c>
      <c r="AU7" s="72"/>
      <c r="AV7" s="96" t="s">
        <v>5</v>
      </c>
      <c r="AW7" s="67">
        <v>1309565.483791</v>
      </c>
      <c r="AX7" s="34">
        <v>109</v>
      </c>
      <c r="AY7" s="31">
        <v>8.323371480780097E-5</v>
      </c>
      <c r="AZ7" s="33">
        <v>2.5</v>
      </c>
      <c r="BA7" s="31">
        <v>4.160819939139596E-4</v>
      </c>
      <c r="BB7" s="31">
        <v>0.99958391800608604</v>
      </c>
      <c r="BC7" s="32">
        <v>99640.90711952385</v>
      </c>
      <c r="BD7" s="32">
        <v>41.458787309687139</v>
      </c>
      <c r="BE7" s="32">
        <v>498100.88862934499</v>
      </c>
      <c r="BF7" s="32">
        <v>6949658.9344104398</v>
      </c>
      <c r="BG7" s="32">
        <v>69.747046020707188</v>
      </c>
      <c r="BI7" s="34">
        <v>3</v>
      </c>
      <c r="BJ7" s="31">
        <f>BA7*BI7/AX7</f>
        <v>1.1451797997631915E-5</v>
      </c>
      <c r="BK7" s="32">
        <f>BJ7*BC7</f>
        <v>1.1410675406335908</v>
      </c>
      <c r="BL7" s="32">
        <f t="shared" si="17"/>
        <v>27845.05173495075</v>
      </c>
      <c r="BM7" s="32">
        <f t="shared" si="10"/>
        <v>8.9738874320484996</v>
      </c>
      <c r="BN7" s="74"/>
      <c r="BO7" s="101">
        <v>39</v>
      </c>
      <c r="BP7" s="77">
        <f t="shared" si="2"/>
        <v>1.4887337396921491E-4</v>
      </c>
      <c r="BQ7" s="78">
        <f t="shared" si="11"/>
        <v>14.833878028236683</v>
      </c>
      <c r="BR7" s="102">
        <f>BR6-BQ6</f>
        <v>25757.593154401493</v>
      </c>
      <c r="BS7" s="78">
        <f t="shared" si="19"/>
        <v>42.007635111317178</v>
      </c>
      <c r="BV7" s="101">
        <v>0</v>
      </c>
      <c r="BW7" s="31">
        <f t="shared" si="3"/>
        <v>0</v>
      </c>
      <c r="BX7" s="32">
        <f t="shared" si="4"/>
        <v>0</v>
      </c>
      <c r="BY7" s="32">
        <f t="shared" si="20"/>
        <v>13336.797188774037</v>
      </c>
      <c r="BZ7" s="32">
        <f t="shared" si="21"/>
        <v>1.3905373737883355</v>
      </c>
      <c r="CA7" s="32"/>
      <c r="CB7" s="115"/>
      <c r="CC7" s="96" t="s">
        <v>5</v>
      </c>
      <c r="CD7" s="81">
        <v>109</v>
      </c>
      <c r="CE7" s="65">
        <v>0</v>
      </c>
      <c r="CF7" s="31">
        <f t="shared" si="12"/>
        <v>1</v>
      </c>
      <c r="CG7" s="31">
        <f t="shared" si="13"/>
        <v>0.99958391800608604</v>
      </c>
      <c r="CH7" s="67">
        <f t="shared" si="22"/>
        <v>99642.296319102723</v>
      </c>
      <c r="CI7" s="31">
        <f t="shared" si="14"/>
        <v>8.323371480780097E-5</v>
      </c>
      <c r="CJ7" s="32">
        <f>CH7*(1-CG7)</f>
        <v>41.459365330618269</v>
      </c>
      <c r="CK7" s="32">
        <f t="shared" si="16"/>
        <v>498107.833182192</v>
      </c>
      <c r="CL7" s="32">
        <f t="shared" si="23"/>
        <v>7075827.7614551354</v>
      </c>
      <c r="CM7" s="32">
        <f t="shared" si="24"/>
        <v>71.012291194041936</v>
      </c>
    </row>
    <row r="8" spans="1:93" x14ac:dyDescent="0.55000000000000004">
      <c r="A8" s="96" t="s">
        <v>4</v>
      </c>
      <c r="B8" s="67">
        <v>1259327.745016</v>
      </c>
      <c r="C8" s="67">
        <v>1240778.35145</v>
      </c>
      <c r="D8" s="101">
        <v>5</v>
      </c>
      <c r="E8" s="101">
        <v>5</v>
      </c>
      <c r="F8" s="101">
        <v>0</v>
      </c>
      <c r="G8" s="101">
        <v>49</v>
      </c>
      <c r="H8" s="101">
        <v>1</v>
      </c>
      <c r="I8" s="101">
        <v>5</v>
      </c>
      <c r="J8" s="101">
        <v>0</v>
      </c>
      <c r="K8" s="101">
        <v>25</v>
      </c>
      <c r="L8" s="101">
        <v>16</v>
      </c>
      <c r="M8" s="101">
        <v>10</v>
      </c>
      <c r="N8" s="101">
        <v>1</v>
      </c>
      <c r="O8" s="101">
        <v>0</v>
      </c>
      <c r="P8" s="101">
        <v>1</v>
      </c>
      <c r="Q8" s="101">
        <v>0</v>
      </c>
      <c r="R8" s="101">
        <v>0</v>
      </c>
      <c r="S8" s="101">
        <v>3</v>
      </c>
      <c r="T8" s="101">
        <v>5</v>
      </c>
      <c r="U8" s="101">
        <v>5</v>
      </c>
      <c r="V8" s="101">
        <v>111</v>
      </c>
      <c r="W8" s="66">
        <f t="shared" si="0"/>
        <v>242</v>
      </c>
      <c r="X8" s="67">
        <f t="shared" si="5"/>
        <v>1250053.0482330001</v>
      </c>
      <c r="Y8" s="31">
        <f t="shared" si="6"/>
        <v>0.19359178423833825</v>
      </c>
      <c r="AA8" s="96" t="s">
        <v>4</v>
      </c>
      <c r="AB8" s="31">
        <f t="shared" si="7"/>
        <v>3.9998302528582285E-3</v>
      </c>
      <c r="AC8" s="31">
        <f t="shared" si="1"/>
        <v>3.9998302528582285E-3</v>
      </c>
      <c r="AD8" s="34">
        <f t="shared" si="1"/>
        <v>0</v>
      </c>
      <c r="AE8" s="31">
        <f t="shared" si="1"/>
        <v>3.9198336478010638E-2</v>
      </c>
      <c r="AF8" s="31">
        <f t="shared" si="1"/>
        <v>7.9996605057164566E-4</v>
      </c>
      <c r="AG8" s="31">
        <f t="shared" si="1"/>
        <v>3.9998302528582285E-3</v>
      </c>
      <c r="AH8" s="34">
        <f t="shared" si="1"/>
        <v>0</v>
      </c>
      <c r="AI8" s="31">
        <f t="shared" si="1"/>
        <v>1.9999151264291141E-2</v>
      </c>
      <c r="AJ8" s="31">
        <f t="shared" si="1"/>
        <v>1.2799456809146331E-2</v>
      </c>
      <c r="AK8" s="31">
        <f t="shared" si="1"/>
        <v>7.999660505716457E-3</v>
      </c>
      <c r="AL8" s="31">
        <f t="shared" si="1"/>
        <v>7.9996605057164566E-4</v>
      </c>
      <c r="AM8" s="34">
        <f t="shared" si="1"/>
        <v>0</v>
      </c>
      <c r="AN8" s="31">
        <f t="shared" si="1"/>
        <v>7.9996605057164566E-4</v>
      </c>
      <c r="AO8" s="31">
        <f t="shared" si="1"/>
        <v>0</v>
      </c>
      <c r="AP8" s="34">
        <f t="shared" si="1"/>
        <v>0</v>
      </c>
      <c r="AQ8" s="31">
        <f t="shared" si="1"/>
        <v>2.3998981517149372E-3</v>
      </c>
      <c r="AR8" s="31">
        <f t="shared" si="1"/>
        <v>3.9998302528582285E-3</v>
      </c>
      <c r="AS8" s="31">
        <f t="shared" si="1"/>
        <v>3.9998302528582285E-3</v>
      </c>
      <c r="AT8" s="31">
        <f t="shared" si="1"/>
        <v>8.8796231613452667E-2</v>
      </c>
      <c r="AU8" s="72"/>
      <c r="AV8" s="96" t="s">
        <v>4</v>
      </c>
      <c r="AW8" s="67">
        <v>1250053.0482330001</v>
      </c>
      <c r="AX8" s="34">
        <v>242</v>
      </c>
      <c r="AY8" s="31">
        <v>1.9359178423833826E-4</v>
      </c>
      <c r="AZ8" s="33">
        <v>2.5</v>
      </c>
      <c r="BA8" s="31">
        <v>9.6749067557639441E-4</v>
      </c>
      <c r="BB8" s="31">
        <v>0.99903250932442356</v>
      </c>
      <c r="BC8" s="32">
        <v>99599.44833221416</v>
      </c>
      <c r="BD8" s="32">
        <v>96.361537553970066</v>
      </c>
      <c r="BE8" s="32">
        <v>497756.33781718585</v>
      </c>
      <c r="BF8" s="32">
        <v>6451558.0457810946</v>
      </c>
      <c r="BG8" s="32">
        <v>64.775037952639153</v>
      </c>
      <c r="BI8" s="34">
        <v>12</v>
      </c>
      <c r="BJ8" s="31">
        <f t="shared" si="8"/>
        <v>4.7974744243457571E-5</v>
      </c>
      <c r="BK8" s="32">
        <f t="shared" si="9"/>
        <v>4.778258060527441</v>
      </c>
      <c r="BL8" s="32">
        <f t="shared" si="17"/>
        <v>27843.910667410117</v>
      </c>
      <c r="BM8" s="32">
        <f t="shared" si="10"/>
        <v>13.752145492575941</v>
      </c>
      <c r="BN8" s="74"/>
      <c r="BO8" s="101">
        <v>49</v>
      </c>
      <c r="BP8" s="77">
        <f t="shared" si="2"/>
        <v>1.9589687232745176E-4</v>
      </c>
      <c r="BQ8" s="78">
        <f t="shared" si="11"/>
        <v>19.511220413820386</v>
      </c>
      <c r="BR8" s="102">
        <f t="shared" si="18"/>
        <v>25742.759276373257</v>
      </c>
      <c r="BS8" s="78">
        <f t="shared" si="19"/>
        <v>61.518855525137567</v>
      </c>
      <c r="BV8" s="101">
        <v>5</v>
      </c>
      <c r="BW8" s="31">
        <f t="shared" si="3"/>
        <v>1.9989476768107325E-5</v>
      </c>
      <c r="BX8" s="32">
        <f t="shared" si="4"/>
        <v>1.9909408585531008</v>
      </c>
      <c r="BY8" s="32">
        <f t="shared" si="20"/>
        <v>13336.797188774037</v>
      </c>
      <c r="BZ8" s="32">
        <f t="shared" si="21"/>
        <v>3.3814782323414363</v>
      </c>
      <c r="CA8" s="32"/>
      <c r="CB8" s="115"/>
      <c r="CC8" s="96" t="s">
        <v>4</v>
      </c>
      <c r="CD8" s="81">
        <v>242</v>
      </c>
      <c r="CE8" s="65">
        <v>5</v>
      </c>
      <c r="CF8" s="31">
        <f t="shared" si="12"/>
        <v>0.97933884297520657</v>
      </c>
      <c r="CG8" s="31">
        <f t="shared" si="13"/>
        <v>0.99905248932804636</v>
      </c>
      <c r="CH8" s="67">
        <f t="shared" si="22"/>
        <v>99600.836953772101</v>
      </c>
      <c r="CI8" s="31">
        <f t="shared" si="14"/>
        <v>1.8959195398548004E-4</v>
      </c>
      <c r="CJ8" s="32">
        <f>CH8*(1-CG8)</f>
        <v>94.372855949213957</v>
      </c>
      <c r="CK8" s="32">
        <f t="shared" si="16"/>
        <v>497768.2542184334</v>
      </c>
      <c r="CL8" s="32">
        <f>CL7-CK7</f>
        <v>6577719.928272943</v>
      </c>
      <c r="CM8" s="32">
        <f t="shared" si="24"/>
        <v>66.040809790844136</v>
      </c>
    </row>
    <row r="9" spans="1:93" x14ac:dyDescent="0.55000000000000004">
      <c r="A9" s="96" t="s">
        <v>6</v>
      </c>
      <c r="B9" s="67">
        <v>1228307.144693</v>
      </c>
      <c r="C9" s="67">
        <v>1203843.353507</v>
      </c>
      <c r="D9" s="101">
        <v>4</v>
      </c>
      <c r="E9" s="101">
        <v>4</v>
      </c>
      <c r="F9" s="101">
        <v>4</v>
      </c>
      <c r="G9" s="101">
        <v>68</v>
      </c>
      <c r="H9" s="101">
        <v>3</v>
      </c>
      <c r="I9" s="101">
        <v>4</v>
      </c>
      <c r="J9" s="101">
        <v>2</v>
      </c>
      <c r="K9" s="101">
        <v>27</v>
      </c>
      <c r="L9" s="101">
        <v>25</v>
      </c>
      <c r="M9" s="101">
        <v>23</v>
      </c>
      <c r="N9" s="101">
        <v>8</v>
      </c>
      <c r="O9" s="101">
        <v>0</v>
      </c>
      <c r="P9" s="101">
        <v>1</v>
      </c>
      <c r="Q9" s="101">
        <v>1</v>
      </c>
      <c r="R9" s="101">
        <v>0</v>
      </c>
      <c r="S9" s="101">
        <v>0</v>
      </c>
      <c r="T9" s="101">
        <v>10</v>
      </c>
      <c r="U9" s="101">
        <v>19</v>
      </c>
      <c r="V9" s="101">
        <v>255</v>
      </c>
      <c r="W9" s="66">
        <f t="shared" si="0"/>
        <v>458</v>
      </c>
      <c r="X9" s="67">
        <f t="shared" si="5"/>
        <v>1216075.2491000001</v>
      </c>
      <c r="Y9" s="31">
        <f t="shared" si="6"/>
        <v>0.37662143057262226</v>
      </c>
      <c r="AA9" s="96" t="s">
        <v>6</v>
      </c>
      <c r="AB9" s="31">
        <f t="shared" si="7"/>
        <v>3.2892701360054343E-3</v>
      </c>
      <c r="AC9" s="31">
        <f t="shared" si="1"/>
        <v>3.2892701360054343E-3</v>
      </c>
      <c r="AD9" s="31">
        <f t="shared" si="1"/>
        <v>3.2892701360054343E-3</v>
      </c>
      <c r="AE9" s="31">
        <f t="shared" si="1"/>
        <v>5.5917592312092389E-2</v>
      </c>
      <c r="AF9" s="31">
        <f t="shared" si="1"/>
        <v>2.4669526020040756E-3</v>
      </c>
      <c r="AG9" s="31">
        <f t="shared" si="1"/>
        <v>3.2892701360054343E-3</v>
      </c>
      <c r="AH9" s="31">
        <f t="shared" si="1"/>
        <v>1.6446350680027171E-3</v>
      </c>
      <c r="AI9" s="31">
        <f t="shared" si="1"/>
        <v>2.2202573418036681E-2</v>
      </c>
      <c r="AJ9" s="31">
        <f t="shared" si="1"/>
        <v>2.0557938350033965E-2</v>
      </c>
      <c r="AK9" s="31">
        <f t="shared" si="1"/>
        <v>1.8913303282031248E-2</v>
      </c>
      <c r="AL9" s="31">
        <f t="shared" si="1"/>
        <v>6.5785402720108686E-3</v>
      </c>
      <c r="AM9" s="34">
        <f t="shared" si="1"/>
        <v>0</v>
      </c>
      <c r="AN9" s="31">
        <f t="shared" si="1"/>
        <v>8.2231753400135857E-4</v>
      </c>
      <c r="AO9" s="31">
        <f t="shared" si="1"/>
        <v>8.2231753400135857E-4</v>
      </c>
      <c r="AP9" s="34">
        <f t="shared" si="1"/>
        <v>0</v>
      </c>
      <c r="AQ9" s="34">
        <f t="shared" si="1"/>
        <v>0</v>
      </c>
      <c r="AR9" s="31">
        <f t="shared" si="1"/>
        <v>8.223175340013586E-3</v>
      </c>
      <c r="AS9" s="31">
        <f t="shared" si="1"/>
        <v>1.5624033146025814E-2</v>
      </c>
      <c r="AT9" s="31">
        <f t="shared" si="1"/>
        <v>0.20969097117034644</v>
      </c>
      <c r="AU9" s="72"/>
      <c r="AV9" s="96" t="s">
        <v>6</v>
      </c>
      <c r="AW9" s="67">
        <v>1216075.2491000001</v>
      </c>
      <c r="AX9" s="34">
        <v>458</v>
      </c>
      <c r="AY9" s="31">
        <v>3.7662143057262226E-4</v>
      </c>
      <c r="AZ9" s="33">
        <v>2.5</v>
      </c>
      <c r="BA9" s="31">
        <v>1.881335774436222E-3</v>
      </c>
      <c r="BB9" s="31">
        <v>0.99811866422556372</v>
      </c>
      <c r="BC9" s="32">
        <v>99503.086794660179</v>
      </c>
      <c r="BD9" s="32">
        <v>187.19871685362662</v>
      </c>
      <c r="BE9" s="32">
        <v>497047.43718116684</v>
      </c>
      <c r="BF9" s="32">
        <v>5953801.707963909</v>
      </c>
      <c r="BG9" s="32">
        <v>59.835346819445796</v>
      </c>
      <c r="BI9" s="34">
        <v>8</v>
      </c>
      <c r="BJ9" s="31">
        <f t="shared" si="8"/>
        <v>3.286176025216108E-5</v>
      </c>
      <c r="BK9" s="32">
        <f t="shared" si="9"/>
        <v>3.2698465825960978</v>
      </c>
      <c r="BL9" s="32">
        <f t="shared" si="17"/>
        <v>27839.13240934959</v>
      </c>
      <c r="BM9" s="32">
        <f t="shared" si="10"/>
        <v>17.02199207517204</v>
      </c>
      <c r="BN9" s="74"/>
      <c r="BO9" s="101">
        <v>68</v>
      </c>
      <c r="BP9" s="77">
        <f t="shared" si="2"/>
        <v>2.7932496214336922E-4</v>
      </c>
      <c r="BQ9" s="78">
        <f t="shared" si="11"/>
        <v>27.793695952066837</v>
      </c>
      <c r="BR9" s="102">
        <f t="shared" si="18"/>
        <v>25723.248055959437</v>
      </c>
      <c r="BS9" s="78">
        <f t="shared" si="19"/>
        <v>89.312551477204408</v>
      </c>
      <c r="BV9" s="101">
        <v>4</v>
      </c>
      <c r="BW9" s="31">
        <f t="shared" si="3"/>
        <v>1.643088012608054E-5</v>
      </c>
      <c r="BX9" s="32">
        <f t="shared" si="4"/>
        <v>1.6349232912980489</v>
      </c>
      <c r="BY9" s="32">
        <f t="shared" si="20"/>
        <v>13334.806247915483</v>
      </c>
      <c r="BZ9" s="32">
        <f t="shared" si="21"/>
        <v>5.0164015236394857</v>
      </c>
      <c r="CA9" s="32"/>
      <c r="CB9" s="115"/>
      <c r="CC9" s="96" t="s">
        <v>6</v>
      </c>
      <c r="CD9" s="81">
        <v>458</v>
      </c>
      <c r="CE9" s="65">
        <v>4</v>
      </c>
      <c r="CF9" s="31">
        <f t="shared" si="12"/>
        <v>0.99126637554585151</v>
      </c>
      <c r="CG9" s="31">
        <f t="shared" si="13"/>
        <v>0.9981350797749744</v>
      </c>
      <c r="CH9" s="67">
        <f>CH8*CG8</f>
        <v>99506.464097822885</v>
      </c>
      <c r="CI9" s="31">
        <f t="shared" si="14"/>
        <v>3.7333216043661683E-4</v>
      </c>
      <c r="CJ9" s="32">
        <f t="shared" si="15"/>
        <v>185.57161741681378</v>
      </c>
      <c r="CK9" s="32">
        <f t="shared" si="16"/>
        <v>497068.39400009194</v>
      </c>
      <c r="CL9" s="32">
        <f t="shared" si="23"/>
        <v>6079951.67405451</v>
      </c>
      <c r="CM9" s="32">
        <f>CL9/CH9</f>
        <v>61.101072469798815</v>
      </c>
    </row>
    <row r="10" spans="1:93" x14ac:dyDescent="0.55000000000000004">
      <c r="A10" s="96" t="s">
        <v>7</v>
      </c>
      <c r="B10" s="67">
        <v>1283969.3690790001</v>
      </c>
      <c r="C10" s="67">
        <v>1287412.491686</v>
      </c>
      <c r="D10" s="101">
        <v>11</v>
      </c>
      <c r="E10" s="101">
        <v>25</v>
      </c>
      <c r="F10" s="101">
        <v>7</v>
      </c>
      <c r="G10" s="101">
        <v>77</v>
      </c>
      <c r="H10" s="101">
        <v>2</v>
      </c>
      <c r="I10" s="101">
        <v>8</v>
      </c>
      <c r="J10" s="101">
        <v>0</v>
      </c>
      <c r="K10" s="101">
        <v>22</v>
      </c>
      <c r="L10" s="101">
        <v>43</v>
      </c>
      <c r="M10" s="101">
        <v>15</v>
      </c>
      <c r="N10" s="101">
        <v>12</v>
      </c>
      <c r="O10" s="101">
        <v>0</v>
      </c>
      <c r="P10" s="101">
        <v>1</v>
      </c>
      <c r="Q10" s="101">
        <v>0</v>
      </c>
      <c r="R10" s="101">
        <v>0</v>
      </c>
      <c r="S10" s="101">
        <v>2</v>
      </c>
      <c r="T10" s="101">
        <v>8</v>
      </c>
      <c r="U10" s="101">
        <v>20</v>
      </c>
      <c r="V10" s="101">
        <v>327</v>
      </c>
      <c r="W10" s="66">
        <f t="shared" si="0"/>
        <v>580</v>
      </c>
      <c r="X10" s="67">
        <f t="shared" si="5"/>
        <v>1285690.9303824999</v>
      </c>
      <c r="Y10" s="31">
        <f t="shared" si="6"/>
        <v>0.45111930580971499</v>
      </c>
      <c r="AA10" s="96" t="s">
        <v>7</v>
      </c>
      <c r="AB10" s="31">
        <f t="shared" si="7"/>
        <v>8.5557109722532165E-3</v>
      </c>
      <c r="AC10" s="31">
        <f t="shared" si="1"/>
        <v>1.9444797664211855E-2</v>
      </c>
      <c r="AD10" s="31">
        <f t="shared" si="1"/>
        <v>5.4445433459793195E-3</v>
      </c>
      <c r="AE10" s="31">
        <f t="shared" si="1"/>
        <v>5.9889976805772509E-2</v>
      </c>
      <c r="AF10" s="31">
        <f t="shared" si="1"/>
        <v>1.5555838131369483E-3</v>
      </c>
      <c r="AG10" s="31">
        <f t="shared" si="1"/>
        <v>6.2223352525477933E-3</v>
      </c>
      <c r="AH10" s="34">
        <f t="shared" si="1"/>
        <v>0</v>
      </c>
      <c r="AI10" s="31">
        <f t="shared" si="1"/>
        <v>1.7111421944506433E-2</v>
      </c>
      <c r="AJ10" s="31">
        <f t="shared" si="1"/>
        <v>3.3445051982444386E-2</v>
      </c>
      <c r="AK10" s="31">
        <f t="shared" si="1"/>
        <v>1.1666878598527112E-2</v>
      </c>
      <c r="AL10" s="31">
        <f t="shared" si="1"/>
        <v>9.3335028788216895E-3</v>
      </c>
      <c r="AM10" s="34">
        <f t="shared" si="1"/>
        <v>0</v>
      </c>
      <c r="AN10" s="31">
        <f t="shared" si="1"/>
        <v>7.7779190656847416E-4</v>
      </c>
      <c r="AO10" s="34">
        <f t="shared" si="1"/>
        <v>0</v>
      </c>
      <c r="AP10" s="34">
        <f t="shared" si="1"/>
        <v>0</v>
      </c>
      <c r="AQ10" s="31">
        <f t="shared" si="1"/>
        <v>1.5555838131369483E-3</v>
      </c>
      <c r="AR10" s="31">
        <f t="shared" si="1"/>
        <v>6.2223352525477933E-3</v>
      </c>
      <c r="AS10" s="31">
        <f t="shared" si="1"/>
        <v>1.5555838131369484E-2</v>
      </c>
      <c r="AT10" s="31">
        <f t="shared" si="1"/>
        <v>0.25433795344789106</v>
      </c>
      <c r="AU10" s="72"/>
      <c r="AV10" s="96" t="s">
        <v>7</v>
      </c>
      <c r="AW10" s="67">
        <v>1285690.9303824999</v>
      </c>
      <c r="AX10" s="34">
        <v>580</v>
      </c>
      <c r="AY10" s="31">
        <v>4.51119305809715E-4</v>
      </c>
      <c r="AZ10" s="33">
        <v>2.5</v>
      </c>
      <c r="BA10" s="31">
        <v>2.2530555369241548E-3</v>
      </c>
      <c r="BB10" s="31">
        <v>0.99774694446307588</v>
      </c>
      <c r="BC10" s="32">
        <v>99315.88807780655</v>
      </c>
      <c r="BD10" s="32">
        <v>223.76421153824171</v>
      </c>
      <c r="BE10" s="32">
        <v>496020.02986018721</v>
      </c>
      <c r="BF10" s="32">
        <v>5456754.2707827426</v>
      </c>
      <c r="BG10" s="32">
        <v>54.943417175183342</v>
      </c>
      <c r="BI10" s="34">
        <v>27</v>
      </c>
      <c r="BJ10" s="31">
        <f t="shared" si="8"/>
        <v>1.0488361982233134E-4</v>
      </c>
      <c r="BK10" s="32">
        <f t="shared" si="9"/>
        <v>10.416609847469871</v>
      </c>
      <c r="BL10" s="32">
        <f t="shared" si="17"/>
        <v>27835.862562766994</v>
      </c>
      <c r="BM10" s="32">
        <f t="shared" si="10"/>
        <v>27.438601922641912</v>
      </c>
      <c r="BN10" s="74"/>
      <c r="BO10" s="101">
        <v>77</v>
      </c>
      <c r="BP10" s="77">
        <f t="shared" si="2"/>
        <v>2.9911254541924122E-4</v>
      </c>
      <c r="BQ10" s="78">
        <f t="shared" si="11"/>
        <v>29.706628083525189</v>
      </c>
      <c r="BR10" s="102">
        <f t="shared" si="18"/>
        <v>25695.45436000737</v>
      </c>
      <c r="BS10" s="78">
        <f t="shared" si="19"/>
        <v>119.0191795607296</v>
      </c>
      <c r="BV10" s="101">
        <v>25</v>
      </c>
      <c r="BW10" s="31">
        <f t="shared" si="3"/>
        <v>9.7114462798454946E-5</v>
      </c>
      <c r="BX10" s="32">
        <f t="shared" si="4"/>
        <v>9.6450091180276587</v>
      </c>
      <c r="BY10" s="32">
        <f t="shared" si="20"/>
        <v>13333.171324624185</v>
      </c>
      <c r="BZ10" s="32">
        <f t="shared" si="21"/>
        <v>14.661410641667144</v>
      </c>
      <c r="CA10" s="32"/>
      <c r="CB10" s="115"/>
      <c r="CC10" s="96" t="s">
        <v>7</v>
      </c>
      <c r="CD10" s="81">
        <v>580</v>
      </c>
      <c r="CE10" s="65">
        <v>25</v>
      </c>
      <c r="CF10" s="31">
        <f t="shared" si="12"/>
        <v>0.9568965517241379</v>
      </c>
      <c r="CG10" s="31">
        <f t="shared" si="13"/>
        <v>0.99784395415723981</v>
      </c>
      <c r="CH10" s="67">
        <f t="shared" si="22"/>
        <v>99320.892480406066</v>
      </c>
      <c r="CI10" s="31">
        <f t="shared" si="14"/>
        <v>4.3167450814550311E-4</v>
      </c>
      <c r="CJ10" s="32">
        <f t="shared" si="15"/>
        <v>214.14039733161135</v>
      </c>
      <c r="CK10" s="32">
        <f t="shared" si="16"/>
        <v>496069.12914911285</v>
      </c>
      <c r="CL10" s="32">
        <f t="shared" si="23"/>
        <v>5582883.2800544184</v>
      </c>
      <c r="CM10" s="32">
        <f t="shared" si="24"/>
        <v>56.210562960414443</v>
      </c>
    </row>
    <row r="11" spans="1:93" x14ac:dyDescent="0.55000000000000004">
      <c r="A11" s="96" t="s">
        <v>8</v>
      </c>
      <c r="B11" s="67">
        <v>1373685.0567340001</v>
      </c>
      <c r="C11" s="67">
        <v>1386532.038197</v>
      </c>
      <c r="D11" s="101">
        <v>26</v>
      </c>
      <c r="E11" s="101">
        <v>17</v>
      </c>
      <c r="F11" s="101">
        <v>3</v>
      </c>
      <c r="G11" s="101">
        <v>131</v>
      </c>
      <c r="H11" s="101">
        <v>5</v>
      </c>
      <c r="I11" s="101">
        <v>8</v>
      </c>
      <c r="J11" s="101">
        <v>3</v>
      </c>
      <c r="K11" s="101">
        <v>28</v>
      </c>
      <c r="L11" s="101">
        <v>92</v>
      </c>
      <c r="M11" s="101">
        <v>36</v>
      </c>
      <c r="N11" s="101">
        <v>21</v>
      </c>
      <c r="O11" s="101">
        <v>0</v>
      </c>
      <c r="P11" s="101">
        <v>0</v>
      </c>
      <c r="Q11" s="101">
        <v>4</v>
      </c>
      <c r="R11" s="101">
        <v>0</v>
      </c>
      <c r="S11" s="101">
        <v>1</v>
      </c>
      <c r="T11" s="101">
        <v>7</v>
      </c>
      <c r="U11" s="101">
        <v>27</v>
      </c>
      <c r="V11" s="101">
        <v>439</v>
      </c>
      <c r="W11" s="66">
        <f t="shared" si="0"/>
        <v>848</v>
      </c>
      <c r="X11" s="67">
        <f t="shared" si="5"/>
        <v>1380108.5474655</v>
      </c>
      <c r="Y11" s="31">
        <f t="shared" si="6"/>
        <v>0.61444442290956713</v>
      </c>
      <c r="AA11" s="96" t="s">
        <v>8</v>
      </c>
      <c r="AB11" s="31">
        <f t="shared" si="7"/>
        <v>1.8839097872227293E-2</v>
      </c>
      <c r="AC11" s="31">
        <f t="shared" si="1"/>
        <v>1.2317871685687076E-2</v>
      </c>
      <c r="AD11" s="31">
        <f t="shared" si="1"/>
        <v>2.1737420621800721E-3</v>
      </c>
      <c r="AE11" s="31">
        <f t="shared" si="1"/>
        <v>9.4920070048529828E-2</v>
      </c>
      <c r="AF11" s="31">
        <f t="shared" si="1"/>
        <v>3.6229034369667872E-3</v>
      </c>
      <c r="AG11" s="31">
        <f t="shared" si="1"/>
        <v>5.7966454991468597E-3</v>
      </c>
      <c r="AH11" s="31">
        <f t="shared" si="1"/>
        <v>2.1737420621800721E-3</v>
      </c>
      <c r="AI11" s="31">
        <f t="shared" si="1"/>
        <v>2.0288259247014009E-2</v>
      </c>
      <c r="AJ11" s="31">
        <f t="shared" si="1"/>
        <v>6.666142324018888E-2</v>
      </c>
      <c r="AK11" s="31">
        <f t="shared" si="1"/>
        <v>2.6084904746160868E-2</v>
      </c>
      <c r="AL11" s="31">
        <f t="shared" si="1"/>
        <v>1.5216194435260505E-2</v>
      </c>
      <c r="AM11" s="34">
        <f t="shared" si="1"/>
        <v>0</v>
      </c>
      <c r="AN11" s="34">
        <f t="shared" si="1"/>
        <v>0</v>
      </c>
      <c r="AO11" s="31">
        <f t="shared" si="1"/>
        <v>2.8983227495734299E-3</v>
      </c>
      <c r="AP11" s="34">
        <f t="shared" si="1"/>
        <v>0</v>
      </c>
      <c r="AQ11" s="31">
        <f t="shared" si="1"/>
        <v>7.2458068739335746E-4</v>
      </c>
      <c r="AR11" s="31">
        <f t="shared" si="1"/>
        <v>5.0720648117535024E-3</v>
      </c>
      <c r="AS11" s="31">
        <f t="shared" si="1"/>
        <v>1.9563678559620649E-2</v>
      </c>
      <c r="AT11" s="31">
        <f t="shared" si="1"/>
        <v>0.31809092176568393</v>
      </c>
      <c r="AU11" s="72"/>
      <c r="AV11" s="96" t="s">
        <v>8</v>
      </c>
      <c r="AW11" s="67">
        <v>1380108.5474655</v>
      </c>
      <c r="AX11" s="34">
        <v>848</v>
      </c>
      <c r="AY11" s="31">
        <v>6.1444442290956708E-4</v>
      </c>
      <c r="AZ11" s="33">
        <v>2.5</v>
      </c>
      <c r="BA11" s="31">
        <v>3.0675100783981086E-3</v>
      </c>
      <c r="BB11" s="31">
        <v>0.99693248992160188</v>
      </c>
      <c r="BC11" s="32">
        <v>99092.123866268317</v>
      </c>
      <c r="BD11" s="32">
        <v>303.96608864965179</v>
      </c>
      <c r="BE11" s="32">
        <v>494700.70410971745</v>
      </c>
      <c r="BF11" s="32">
        <v>4960734.2409225553</v>
      </c>
      <c r="BG11" s="32">
        <v>50.061841924161499</v>
      </c>
      <c r="BI11" s="34">
        <v>32</v>
      </c>
      <c r="BJ11" s="31">
        <f t="shared" si="8"/>
        <v>1.1575509729804183E-4</v>
      </c>
      <c r="BK11" s="32">
        <f t="shared" si="9"/>
        <v>11.470418439609503</v>
      </c>
      <c r="BL11" s="32">
        <f t="shared" si="17"/>
        <v>27825.445952919523</v>
      </c>
      <c r="BM11" s="32">
        <f t="shared" si="10"/>
        <v>38.909020362251411</v>
      </c>
      <c r="BN11" s="74"/>
      <c r="BO11" s="101">
        <v>131</v>
      </c>
      <c r="BP11" s="77">
        <f t="shared" si="2"/>
        <v>4.7387242956385879E-4</v>
      </c>
      <c r="BQ11" s="78">
        <f t="shared" si="11"/>
        <v>46.957025487151405</v>
      </c>
      <c r="BR11" s="102">
        <f t="shared" si="18"/>
        <v>25665.747731923846</v>
      </c>
      <c r="BS11" s="78">
        <f t="shared" si="19"/>
        <v>165.976205047881</v>
      </c>
      <c r="BV11" s="101">
        <v>17</v>
      </c>
      <c r="BW11" s="31">
        <f t="shared" si="3"/>
        <v>6.1494895439584722E-5</v>
      </c>
      <c r="BX11" s="32">
        <f t="shared" si="4"/>
        <v>6.093659796042548</v>
      </c>
      <c r="BY11" s="32">
        <f t="shared" si="20"/>
        <v>13323.526315506158</v>
      </c>
      <c r="BZ11" s="32">
        <f t="shared" si="21"/>
        <v>20.755070437709691</v>
      </c>
      <c r="CA11" s="32"/>
      <c r="CB11" s="115"/>
      <c r="CC11" s="96" t="s">
        <v>8</v>
      </c>
      <c r="CD11" s="81">
        <v>848</v>
      </c>
      <c r="CE11" s="65">
        <v>17</v>
      </c>
      <c r="CF11" s="31">
        <f t="shared" si="12"/>
        <v>0.97995283018867929</v>
      </c>
      <c r="CG11" s="31">
        <f t="shared" si="13"/>
        <v>0.99699389229319535</v>
      </c>
      <c r="CH11" s="67">
        <f t="shared" si="22"/>
        <v>99106.752083074462</v>
      </c>
      <c r="CI11" s="31">
        <f t="shared" si="14"/>
        <v>6.0212655122388005E-4</v>
      </c>
      <c r="CJ11" s="32">
        <f t="shared" si="15"/>
        <v>297.92557123330801</v>
      </c>
      <c r="CK11" s="32">
        <f t="shared" si="16"/>
        <v>494788.96193457284</v>
      </c>
      <c r="CL11" s="32">
        <f t="shared" si="23"/>
        <v>5086814.1509053055</v>
      </c>
      <c r="CM11" s="32">
        <f t="shared" si="24"/>
        <v>51.326615432229829</v>
      </c>
    </row>
    <row r="12" spans="1:93" x14ac:dyDescent="0.55000000000000004">
      <c r="A12" s="96" t="s">
        <v>9</v>
      </c>
      <c r="B12" s="67">
        <v>1588932.0487939999</v>
      </c>
      <c r="C12" s="67">
        <v>1655991.6088719997</v>
      </c>
      <c r="D12" s="101">
        <v>32</v>
      </c>
      <c r="E12" s="101">
        <v>57</v>
      </c>
      <c r="F12" s="101">
        <v>10</v>
      </c>
      <c r="G12" s="101">
        <v>216</v>
      </c>
      <c r="H12" s="101">
        <v>8</v>
      </c>
      <c r="I12" s="101">
        <v>22</v>
      </c>
      <c r="J12" s="101">
        <v>8</v>
      </c>
      <c r="K12" s="101">
        <v>40</v>
      </c>
      <c r="L12" s="101">
        <v>214</v>
      </c>
      <c r="M12" s="101">
        <v>48</v>
      </c>
      <c r="N12" s="101">
        <v>49</v>
      </c>
      <c r="O12" s="101">
        <v>3</v>
      </c>
      <c r="P12" s="101">
        <v>3</v>
      </c>
      <c r="Q12" s="101">
        <v>3</v>
      </c>
      <c r="R12" s="101">
        <v>0</v>
      </c>
      <c r="S12" s="101">
        <v>2</v>
      </c>
      <c r="T12" s="101">
        <v>7</v>
      </c>
      <c r="U12" s="101">
        <v>41</v>
      </c>
      <c r="V12" s="101">
        <v>487</v>
      </c>
      <c r="W12" s="66">
        <f t="shared" si="0"/>
        <v>1250</v>
      </c>
      <c r="X12" s="67">
        <f t="shared" si="5"/>
        <v>1622461.8288329998</v>
      </c>
      <c r="Y12" s="31">
        <f t="shared" si="6"/>
        <v>0.77043414999728954</v>
      </c>
      <c r="AA12" s="96" t="s">
        <v>9</v>
      </c>
      <c r="AB12" s="31">
        <f t="shared" si="7"/>
        <v>1.972311423993061E-2</v>
      </c>
      <c r="AC12" s="31">
        <f t="shared" si="1"/>
        <v>3.5131797239876403E-2</v>
      </c>
      <c r="AD12" s="31">
        <f t="shared" si="1"/>
        <v>6.1634731999783161E-3</v>
      </c>
      <c r="AE12" s="31">
        <f t="shared" si="1"/>
        <v>0.13313102111953162</v>
      </c>
      <c r="AF12" s="31">
        <f t="shared" si="1"/>
        <v>4.9307785599826525E-3</v>
      </c>
      <c r="AG12" s="31">
        <f t="shared" si="1"/>
        <v>1.3559641039952296E-2</v>
      </c>
      <c r="AH12" s="31">
        <f t="shared" si="1"/>
        <v>4.9307785599826525E-3</v>
      </c>
      <c r="AI12" s="31">
        <f t="shared" si="1"/>
        <v>2.4653892799913264E-2</v>
      </c>
      <c r="AJ12" s="31">
        <f t="shared" si="1"/>
        <v>0.13189832647953595</v>
      </c>
      <c r="AK12" s="31">
        <f t="shared" si="1"/>
        <v>2.9584671359895915E-2</v>
      </c>
      <c r="AL12" s="31">
        <f t="shared" si="1"/>
        <v>3.0201018679893749E-2</v>
      </c>
      <c r="AM12" s="31">
        <f t="shared" si="1"/>
        <v>1.8490419599934947E-3</v>
      </c>
      <c r="AN12" s="31">
        <f t="shared" si="1"/>
        <v>1.8490419599934947E-3</v>
      </c>
      <c r="AO12" s="31">
        <f t="shared" si="1"/>
        <v>1.8490419599934947E-3</v>
      </c>
      <c r="AP12" s="34">
        <f t="shared" si="1"/>
        <v>0</v>
      </c>
      <c r="AQ12" s="31">
        <f t="shared" si="1"/>
        <v>1.2326946399956631E-3</v>
      </c>
      <c r="AR12" s="31">
        <f t="shared" si="1"/>
        <v>4.3144312399848207E-3</v>
      </c>
      <c r="AS12" s="31">
        <f t="shared" si="1"/>
        <v>2.5270240119911094E-2</v>
      </c>
      <c r="AT12" s="31">
        <f t="shared" si="1"/>
        <v>0.30016114483894396</v>
      </c>
      <c r="AU12" s="72"/>
      <c r="AV12" s="96" t="s">
        <v>9</v>
      </c>
      <c r="AW12" s="67">
        <v>1622461.8288329998</v>
      </c>
      <c r="AX12" s="34">
        <v>1250</v>
      </c>
      <c r="AY12" s="31">
        <v>7.7043414999728951E-4</v>
      </c>
      <c r="AZ12" s="33">
        <v>2.5</v>
      </c>
      <c r="BA12" s="31">
        <v>3.844765403572347E-3</v>
      </c>
      <c r="BB12" s="31">
        <v>0.99615523459642763</v>
      </c>
      <c r="BC12" s="32">
        <v>98788.15777761866</v>
      </c>
      <c r="BD12" s="32">
        <v>379.81729130603469</v>
      </c>
      <c r="BE12" s="32">
        <v>492991.24565982819</v>
      </c>
      <c r="BF12" s="32">
        <v>4466033.5368128382</v>
      </c>
      <c r="BG12" s="32">
        <v>45.208187269432592</v>
      </c>
      <c r="BI12" s="34">
        <v>84</v>
      </c>
      <c r="BJ12" s="31">
        <f t="shared" si="8"/>
        <v>2.5836823512006169E-4</v>
      </c>
      <c r="BK12" s="32">
        <f t="shared" si="9"/>
        <v>25.523721975765529</v>
      </c>
      <c r="BL12" s="32">
        <f t="shared" si="17"/>
        <v>27813.975534479912</v>
      </c>
      <c r="BM12" s="32">
        <f t="shared" si="10"/>
        <v>64.432742338016936</v>
      </c>
      <c r="BN12" s="74"/>
      <c r="BO12" s="101">
        <v>216</v>
      </c>
      <c r="BP12" s="77">
        <f t="shared" si="2"/>
        <v>6.6437546173730153E-4</v>
      </c>
      <c r="BQ12" s="78">
        <f t="shared" si="11"/>
        <v>65.632427937682792</v>
      </c>
      <c r="BR12" s="102">
        <f t="shared" si="18"/>
        <v>25618.790706436695</v>
      </c>
      <c r="BS12" s="78">
        <f t="shared" si="19"/>
        <v>231.60863298556379</v>
      </c>
      <c r="BV12" s="101">
        <v>57</v>
      </c>
      <c r="BW12" s="31">
        <f t="shared" si="3"/>
        <v>1.7532130240289904E-4</v>
      </c>
      <c r="BX12" s="32">
        <f t="shared" si="4"/>
        <v>17.319668483555184</v>
      </c>
      <c r="BY12" s="32">
        <f t="shared" si="20"/>
        <v>13317.432655710116</v>
      </c>
      <c r="BZ12" s="32">
        <f t="shared" si="21"/>
        <v>38.074738921264874</v>
      </c>
      <c r="CA12" s="32"/>
      <c r="CB12" s="115"/>
      <c r="CC12" s="96" t="s">
        <v>9</v>
      </c>
      <c r="CD12" s="81">
        <v>1250</v>
      </c>
      <c r="CE12" s="65">
        <v>57</v>
      </c>
      <c r="CF12" s="31">
        <f t="shared" si="12"/>
        <v>0.95440000000000003</v>
      </c>
      <c r="CG12" s="31">
        <f t="shared" si="13"/>
        <v>0.99633023380107999</v>
      </c>
      <c r="CH12" s="67">
        <f t="shared" si="22"/>
        <v>98808.826511841151</v>
      </c>
      <c r="CI12" s="31">
        <f t="shared" si="14"/>
        <v>7.3530235275741319E-4</v>
      </c>
      <c r="CJ12" s="32">
        <f t="shared" si="15"/>
        <v>362.60529168810604</v>
      </c>
      <c r="CK12" s="32">
        <f t="shared" si="16"/>
        <v>493137.67367712304</v>
      </c>
      <c r="CL12" s="32">
        <f t="shared" si="23"/>
        <v>4592025.1889707325</v>
      </c>
      <c r="CM12" s="32">
        <f t="shared" si="24"/>
        <v>46.473835901901218</v>
      </c>
    </row>
    <row r="13" spans="1:93" x14ac:dyDescent="0.55000000000000004">
      <c r="A13" s="96" t="s">
        <v>10</v>
      </c>
      <c r="B13" s="67">
        <v>1949687.667386</v>
      </c>
      <c r="C13" s="67">
        <v>1992696.7970550002</v>
      </c>
      <c r="D13" s="101">
        <v>40</v>
      </c>
      <c r="E13" s="101">
        <v>107</v>
      </c>
      <c r="F13" s="101">
        <v>18</v>
      </c>
      <c r="G13" s="101">
        <v>502</v>
      </c>
      <c r="H13" s="101">
        <v>9</v>
      </c>
      <c r="I13" s="101">
        <v>36</v>
      </c>
      <c r="J13" s="101">
        <v>10</v>
      </c>
      <c r="K13" s="101">
        <v>71</v>
      </c>
      <c r="L13" s="101">
        <v>439</v>
      </c>
      <c r="M13" s="101">
        <v>109</v>
      </c>
      <c r="N13" s="101">
        <v>126</v>
      </c>
      <c r="O13" s="101">
        <v>1</v>
      </c>
      <c r="P13" s="101">
        <v>3</v>
      </c>
      <c r="Q13" s="101">
        <v>13</v>
      </c>
      <c r="R13" s="101">
        <v>0</v>
      </c>
      <c r="S13" s="101">
        <v>0</v>
      </c>
      <c r="T13" s="101">
        <v>11</v>
      </c>
      <c r="U13" s="101">
        <v>90</v>
      </c>
      <c r="V13" s="101">
        <v>688</v>
      </c>
      <c r="W13" s="66">
        <f t="shared" si="0"/>
        <v>2273</v>
      </c>
      <c r="X13" s="67">
        <f t="shared" si="5"/>
        <v>1971192.2322205002</v>
      </c>
      <c r="Y13" s="31">
        <f t="shared" si="6"/>
        <v>1.1531092517747599</v>
      </c>
      <c r="AA13" s="96" t="s">
        <v>10</v>
      </c>
      <c r="AB13" s="31">
        <f t="shared" si="7"/>
        <v>2.0292287756704972E-2</v>
      </c>
      <c r="AC13" s="31">
        <f t="shared" si="1"/>
        <v>5.42818697491858E-2</v>
      </c>
      <c r="AD13" s="31">
        <f t="shared" si="1"/>
        <v>9.1315294905172373E-3</v>
      </c>
      <c r="AE13" s="31">
        <f t="shared" si="1"/>
        <v>0.25466821134664741</v>
      </c>
      <c r="AF13" s="31">
        <f t="shared" si="1"/>
        <v>4.5657647452586186E-3</v>
      </c>
      <c r="AG13" s="31">
        <f t="shared" si="1"/>
        <v>1.8263058981034475E-2</v>
      </c>
      <c r="AH13" s="31">
        <f t="shared" si="1"/>
        <v>5.073071939176243E-3</v>
      </c>
      <c r="AI13" s="31">
        <f t="shared" si="1"/>
        <v>3.6018810768151326E-2</v>
      </c>
      <c r="AJ13" s="31">
        <f t="shared" si="1"/>
        <v>0.22270785812983707</v>
      </c>
      <c r="AK13" s="31">
        <f t="shared" si="1"/>
        <v>5.5296484137021047E-2</v>
      </c>
      <c r="AL13" s="31">
        <f t="shared" si="1"/>
        <v>6.3920706433620661E-2</v>
      </c>
      <c r="AM13" s="31">
        <f t="shared" si="1"/>
        <v>5.0730719391762428E-4</v>
      </c>
      <c r="AN13" s="31">
        <f t="shared" si="1"/>
        <v>1.521921581752873E-3</v>
      </c>
      <c r="AO13" s="31">
        <f t="shared" si="1"/>
        <v>6.5949935209291153E-3</v>
      </c>
      <c r="AP13" s="34">
        <f t="shared" si="1"/>
        <v>0</v>
      </c>
      <c r="AQ13" s="34">
        <f t="shared" si="1"/>
        <v>0</v>
      </c>
      <c r="AR13" s="31">
        <f t="shared" si="1"/>
        <v>5.5803791330938674E-3</v>
      </c>
      <c r="AS13" s="31">
        <f t="shared" si="1"/>
        <v>4.5657647452586186E-2</v>
      </c>
      <c r="AT13" s="31">
        <f t="shared" si="1"/>
        <v>0.34902734941532548</v>
      </c>
      <c r="AU13" s="72"/>
      <c r="AV13" s="96" t="s">
        <v>10</v>
      </c>
      <c r="AW13" s="67">
        <v>1971192.2322205002</v>
      </c>
      <c r="AX13" s="34">
        <v>2273</v>
      </c>
      <c r="AY13" s="31">
        <v>1.1531092517747599E-3</v>
      </c>
      <c r="AZ13" s="33">
        <v>2.5</v>
      </c>
      <c r="BA13" s="31">
        <v>5.748973273199968E-3</v>
      </c>
      <c r="BB13" s="31">
        <v>0.99425102672679999</v>
      </c>
      <c r="BC13" s="32">
        <v>98408.34048631262</v>
      </c>
      <c r="BD13" s="32">
        <v>565.74691931577354</v>
      </c>
      <c r="BE13" s="32">
        <v>490627.33513327368</v>
      </c>
      <c r="BF13" s="32">
        <v>3973042.29115301</v>
      </c>
      <c r="BG13" s="32">
        <v>40.373023988811305</v>
      </c>
      <c r="BI13" s="34">
        <v>153</v>
      </c>
      <c r="BJ13" s="31">
        <f t="shared" si="8"/>
        <v>3.869744438185636E-4</v>
      </c>
      <c r="BK13" s="32">
        <f t="shared" si="9"/>
        <v>38.081512826798658</v>
      </c>
      <c r="BL13" s="32">
        <f t="shared" si="17"/>
        <v>27788.451812504147</v>
      </c>
      <c r="BM13" s="32">
        <f t="shared" si="10"/>
        <v>102.51425516481559</v>
      </c>
      <c r="BN13" s="74"/>
      <c r="BO13" s="101">
        <v>502</v>
      </c>
      <c r="BP13" s="77">
        <f t="shared" si="2"/>
        <v>1.2696808548818231E-3</v>
      </c>
      <c r="BQ13" s="78">
        <f t="shared" si="11"/>
        <v>124.94718587616293</v>
      </c>
      <c r="BR13" s="102">
        <f t="shared" si="18"/>
        <v>25553.158278499013</v>
      </c>
      <c r="BS13" s="78">
        <f t="shared" si="19"/>
        <v>356.55581886172672</v>
      </c>
      <c r="BV13" s="101">
        <v>107</v>
      </c>
      <c r="BW13" s="31">
        <f t="shared" si="3"/>
        <v>2.7062918619991051E-4</v>
      </c>
      <c r="BX13" s="32">
        <f t="shared" si="4"/>
        <v>26.63216910109449</v>
      </c>
      <c r="BY13" s="32">
        <f t="shared" si="20"/>
        <v>13300.112987226561</v>
      </c>
      <c r="BZ13" s="32">
        <f t="shared" si="21"/>
        <v>64.706908022359357</v>
      </c>
      <c r="CA13" s="32"/>
      <c r="CB13" s="115"/>
      <c r="CC13" s="96" t="s">
        <v>10</v>
      </c>
      <c r="CD13" s="81">
        <v>2273</v>
      </c>
      <c r="CE13" s="65">
        <v>107</v>
      </c>
      <c r="CF13" s="31">
        <f t="shared" si="12"/>
        <v>0.95292564892212939</v>
      </c>
      <c r="CG13" s="31">
        <f t="shared" si="13"/>
        <v>0.99452091312126367</v>
      </c>
      <c r="CH13" s="67">
        <f t="shared" si="22"/>
        <v>98446.221220153049</v>
      </c>
      <c r="CI13" s="31">
        <f t="shared" si="14"/>
        <v>1.0988273820255741E-3</v>
      </c>
      <c r="CJ13" s="32">
        <f t="shared" si="15"/>
        <v>539.39539894851441</v>
      </c>
      <c r="CK13" s="32">
        <f t="shared" si="16"/>
        <v>490882.74261439958</v>
      </c>
      <c r="CL13" s="32">
        <f t="shared" si="23"/>
        <v>4098887.5152936094</v>
      </c>
      <c r="CM13" s="32">
        <f t="shared" si="24"/>
        <v>41.635803431473114</v>
      </c>
    </row>
    <row r="14" spans="1:93" x14ac:dyDescent="0.55000000000000004">
      <c r="A14" s="96" t="s">
        <v>11</v>
      </c>
      <c r="B14" s="67">
        <v>1982306.2896400001</v>
      </c>
      <c r="C14" s="67">
        <v>1956277.035311</v>
      </c>
      <c r="D14" s="101">
        <v>102</v>
      </c>
      <c r="E14" s="101">
        <v>233</v>
      </c>
      <c r="F14" s="101">
        <v>36</v>
      </c>
      <c r="G14" s="101">
        <v>1094</v>
      </c>
      <c r="H14" s="101">
        <v>6</v>
      </c>
      <c r="I14" s="101">
        <v>55</v>
      </c>
      <c r="J14" s="101">
        <v>30</v>
      </c>
      <c r="K14" s="101">
        <v>110</v>
      </c>
      <c r="L14" s="101">
        <v>873</v>
      </c>
      <c r="M14" s="101">
        <v>185</v>
      </c>
      <c r="N14" s="101">
        <v>256</v>
      </c>
      <c r="O14" s="101">
        <v>3</v>
      </c>
      <c r="P14" s="101">
        <v>5</v>
      </c>
      <c r="Q14" s="101">
        <v>18</v>
      </c>
      <c r="R14" s="101">
        <v>0</v>
      </c>
      <c r="S14" s="101">
        <v>0</v>
      </c>
      <c r="T14" s="101">
        <v>25</v>
      </c>
      <c r="U14" s="101">
        <v>127</v>
      </c>
      <c r="V14" s="101">
        <v>754</v>
      </c>
      <c r="W14" s="66">
        <f t="shared" si="0"/>
        <v>3912</v>
      </c>
      <c r="X14" s="67">
        <f t="shared" si="5"/>
        <v>1969291.6624755</v>
      </c>
      <c r="Y14" s="31">
        <f t="shared" si="6"/>
        <v>1.9865010727168857</v>
      </c>
      <c r="AA14" s="96" t="s">
        <v>11</v>
      </c>
      <c r="AB14" s="31">
        <f t="shared" si="7"/>
        <v>5.1795273368385054E-2</v>
      </c>
      <c r="AC14" s="31">
        <f t="shared" si="1"/>
        <v>0.1183166538709188</v>
      </c>
      <c r="AD14" s="31">
        <f t="shared" si="1"/>
        <v>1.8280684718253549E-2</v>
      </c>
      <c r="AE14" s="31">
        <f t="shared" si="1"/>
        <v>0.5555296967158162</v>
      </c>
      <c r="AF14" s="31">
        <f t="shared" si="1"/>
        <v>3.0467807863755916E-3</v>
      </c>
      <c r="AG14" s="31">
        <f t="shared" si="1"/>
        <v>2.7928823875109591E-2</v>
      </c>
      <c r="AH14" s="31">
        <f t="shared" si="1"/>
        <v>1.5233903931877959E-2</v>
      </c>
      <c r="AI14" s="31">
        <f t="shared" si="1"/>
        <v>5.5857647750219182E-2</v>
      </c>
      <c r="AJ14" s="31">
        <f t="shared" si="1"/>
        <v>0.44330660441764858</v>
      </c>
      <c r="AK14" s="31">
        <f t="shared" si="1"/>
        <v>9.3942407579914067E-2</v>
      </c>
      <c r="AL14" s="31">
        <f t="shared" si="1"/>
        <v>0.12999598021869191</v>
      </c>
      <c r="AM14" s="31">
        <f t="shared" si="1"/>
        <v>1.5233903931877958E-3</v>
      </c>
      <c r="AN14" s="31">
        <f t="shared" si="1"/>
        <v>2.5389839886463261E-3</v>
      </c>
      <c r="AO14" s="31">
        <f t="shared" si="1"/>
        <v>9.1403423591267744E-3</v>
      </c>
      <c r="AP14" s="34">
        <f t="shared" si="1"/>
        <v>0</v>
      </c>
      <c r="AQ14" s="34">
        <f t="shared" si="1"/>
        <v>0</v>
      </c>
      <c r="AR14" s="31">
        <f t="shared" si="1"/>
        <v>1.2694919943231632E-2</v>
      </c>
      <c r="AS14" s="31">
        <f t="shared" si="1"/>
        <v>6.4490193311616692E-2</v>
      </c>
      <c r="AT14" s="31">
        <f t="shared" si="1"/>
        <v>0.38287878548786602</v>
      </c>
      <c r="AU14" s="72"/>
      <c r="AV14" s="96" t="s">
        <v>11</v>
      </c>
      <c r="AW14" s="67">
        <v>1969291.6624755</v>
      </c>
      <c r="AX14" s="34">
        <v>3912</v>
      </c>
      <c r="AY14" s="31">
        <v>1.9865010727168858E-3</v>
      </c>
      <c r="AZ14" s="33">
        <v>2.5</v>
      </c>
      <c r="BA14" s="31">
        <v>9.8834217935966969E-3</v>
      </c>
      <c r="BB14" s="31">
        <v>0.99011657820640331</v>
      </c>
      <c r="BC14" s="32">
        <v>97842.593566996846</v>
      </c>
      <c r="BD14" s="32">
        <v>967.01962160208063</v>
      </c>
      <c r="BE14" s="32">
        <v>486795.418780979</v>
      </c>
      <c r="BF14" s="32">
        <v>3482414.9560197364</v>
      </c>
      <c r="BG14" s="32">
        <v>35.592013958983863</v>
      </c>
      <c r="BI14" s="34">
        <v>278</v>
      </c>
      <c r="BJ14" s="31">
        <f t="shared" si="8"/>
        <v>7.0234950373718858E-4</v>
      </c>
      <c r="BK14" s="32">
        <f t="shared" si="9"/>
        <v>68.719697036139678</v>
      </c>
      <c r="BL14" s="32">
        <f t="shared" si="17"/>
        <v>27750.370299677346</v>
      </c>
      <c r="BM14" s="32">
        <f t="shared" si="10"/>
        <v>171.23395220095529</v>
      </c>
      <c r="BN14" s="74"/>
      <c r="BO14" s="101">
        <v>1094</v>
      </c>
      <c r="BP14" s="77">
        <f t="shared" si="2"/>
        <v>2.7639221478003035E-3</v>
      </c>
      <c r="BQ14" s="78">
        <f t="shared" si="11"/>
        <v>270.42931135804611</v>
      </c>
      <c r="BR14" s="102">
        <f t="shared" si="18"/>
        <v>25428.211092622849</v>
      </c>
      <c r="BS14" s="78">
        <f t="shared" si="19"/>
        <v>626.98513021977283</v>
      </c>
      <c r="BV14" s="101">
        <v>233</v>
      </c>
      <c r="BW14" s="31">
        <f t="shared" si="3"/>
        <v>5.8865983586606089E-4</v>
      </c>
      <c r="BX14" s="32">
        <f t="shared" si="4"/>
        <v>57.596005069858066</v>
      </c>
      <c r="BY14" s="32">
        <f t="shared" si="20"/>
        <v>13273.480818125467</v>
      </c>
      <c r="BZ14" s="32">
        <f t="shared" si="21"/>
        <v>122.30291309221742</v>
      </c>
      <c r="CA14" s="32"/>
      <c r="CB14" s="115"/>
      <c r="CC14" s="96" t="s">
        <v>11</v>
      </c>
      <c r="CD14" s="81">
        <v>3912</v>
      </c>
      <c r="CE14" s="65">
        <v>233</v>
      </c>
      <c r="CF14" s="31">
        <f t="shared" si="12"/>
        <v>0.94043967280163598</v>
      </c>
      <c r="CG14" s="31">
        <f t="shared" si="13"/>
        <v>0.99070249271726873</v>
      </c>
      <c r="CH14" s="67">
        <f t="shared" si="22"/>
        <v>97906.825821204533</v>
      </c>
      <c r="CI14" s="31">
        <f t="shared" si="14"/>
        <v>1.868184418845967E-3</v>
      </c>
      <c r="CJ14" s="32">
        <f t="shared" si="15"/>
        <v>910.28942610175068</v>
      </c>
      <c r="CK14" s="32">
        <f t="shared" si="16"/>
        <v>487258.86851366819</v>
      </c>
      <c r="CL14" s="32">
        <f t="shared" si="23"/>
        <v>3608004.7726792097</v>
      </c>
      <c r="CM14" s="32">
        <f t="shared" si="24"/>
        <v>36.851411966598477</v>
      </c>
    </row>
    <row r="15" spans="1:93" x14ac:dyDescent="0.55000000000000004">
      <c r="A15" s="96" t="s">
        <v>12</v>
      </c>
      <c r="B15" s="67">
        <v>1847825.756878</v>
      </c>
      <c r="C15" s="67">
        <v>1829153.7506889999</v>
      </c>
      <c r="D15" s="101">
        <v>144</v>
      </c>
      <c r="E15" s="101">
        <v>456</v>
      </c>
      <c r="F15" s="101">
        <v>85</v>
      </c>
      <c r="G15" s="101">
        <v>2310</v>
      </c>
      <c r="H15" s="101">
        <v>21</v>
      </c>
      <c r="I15" s="101">
        <v>124</v>
      </c>
      <c r="J15" s="101">
        <v>54</v>
      </c>
      <c r="K15" s="101">
        <v>186</v>
      </c>
      <c r="L15" s="101">
        <v>1577</v>
      </c>
      <c r="M15" s="101">
        <v>285</v>
      </c>
      <c r="N15" s="101">
        <v>550</v>
      </c>
      <c r="O15" s="101">
        <v>12</v>
      </c>
      <c r="P15" s="101">
        <v>16</v>
      </c>
      <c r="Q15" s="101">
        <v>40</v>
      </c>
      <c r="R15" s="101">
        <v>0</v>
      </c>
      <c r="S15" s="101">
        <v>0</v>
      </c>
      <c r="T15" s="101">
        <v>28</v>
      </c>
      <c r="U15" s="101">
        <v>200</v>
      </c>
      <c r="V15" s="101">
        <v>821</v>
      </c>
      <c r="W15" s="66">
        <f t="shared" si="0"/>
        <v>6909</v>
      </c>
      <c r="X15" s="67">
        <f t="shared" si="5"/>
        <v>1838489.7537834998</v>
      </c>
      <c r="Y15" s="31">
        <f t="shared" si="6"/>
        <v>3.757975798223351</v>
      </c>
      <c r="AA15" s="96" t="s">
        <v>12</v>
      </c>
      <c r="AB15" s="31">
        <f t="shared" si="7"/>
        <v>7.8325157757151917E-2</v>
      </c>
      <c r="AC15" s="31">
        <f t="shared" si="1"/>
        <v>0.24802966623098105</v>
      </c>
      <c r="AD15" s="31">
        <f t="shared" si="1"/>
        <v>4.6233600064985503E-2</v>
      </c>
      <c r="AE15" s="31">
        <f t="shared" si="1"/>
        <v>1.256466072354312</v>
      </c>
      <c r="AF15" s="31">
        <f t="shared" si="1"/>
        <v>1.1422418839584654E-2</v>
      </c>
      <c r="AG15" s="31">
        <f t="shared" si="1"/>
        <v>6.7446663624214143E-2</v>
      </c>
      <c r="AH15" s="31">
        <f t="shared" si="1"/>
        <v>2.9371934158931967E-2</v>
      </c>
      <c r="AI15" s="31">
        <f t="shared" si="1"/>
        <v>0.10116999543632121</v>
      </c>
      <c r="AJ15" s="31">
        <f t="shared" si="1"/>
        <v>0.85776926238214279</v>
      </c>
      <c r="AK15" s="31">
        <f t="shared" si="1"/>
        <v>0.15501854139436316</v>
      </c>
      <c r="AL15" s="31">
        <f t="shared" si="1"/>
        <v>0.29915858865578854</v>
      </c>
      <c r="AM15" s="31">
        <f t="shared" si="1"/>
        <v>6.5270964797626597E-3</v>
      </c>
      <c r="AN15" s="31">
        <f t="shared" si="1"/>
        <v>8.7027953063502118E-3</v>
      </c>
      <c r="AO15" s="31">
        <f t="shared" si="1"/>
        <v>2.1756988265875531E-2</v>
      </c>
      <c r="AP15" s="34">
        <f t="shared" si="1"/>
        <v>0</v>
      </c>
      <c r="AQ15" s="34">
        <f t="shared" si="1"/>
        <v>0</v>
      </c>
      <c r="AR15" s="31">
        <f t="shared" si="1"/>
        <v>1.5229891786112872E-2</v>
      </c>
      <c r="AS15" s="31">
        <f t="shared" si="1"/>
        <v>0.10878494132937766</v>
      </c>
      <c r="AT15" s="31">
        <f t="shared" si="1"/>
        <v>0.44656218415709525</v>
      </c>
      <c r="AU15" s="72"/>
      <c r="AV15" s="96" t="s">
        <v>12</v>
      </c>
      <c r="AW15" s="67">
        <v>1838489.7537834998</v>
      </c>
      <c r="AX15" s="34">
        <v>6909</v>
      </c>
      <c r="AY15" s="31">
        <v>3.7579757982233509E-3</v>
      </c>
      <c r="AZ15" s="33">
        <v>2.5</v>
      </c>
      <c r="BA15" s="31">
        <v>1.8614992265076076E-2</v>
      </c>
      <c r="BB15" s="31">
        <v>0.98138500773492388</v>
      </c>
      <c r="BC15" s="32">
        <v>96875.573945394761</v>
      </c>
      <c r="BD15" s="32">
        <v>1803.3380596683289</v>
      </c>
      <c r="BE15" s="32">
        <v>479869.52457780298</v>
      </c>
      <c r="BF15" s="32">
        <v>2995619.5372387571</v>
      </c>
      <c r="BG15" s="32">
        <v>30.922341052939505</v>
      </c>
      <c r="BI15" s="34">
        <v>419</v>
      </c>
      <c r="BJ15" s="31">
        <f t="shared" si="8"/>
        <v>1.1289161613933819E-3</v>
      </c>
      <c r="BK15" s="32">
        <f t="shared" si="9"/>
        <v>109.36440107121578</v>
      </c>
      <c r="BL15" s="32">
        <f t="shared" si="17"/>
        <v>27681.650602641206</v>
      </c>
      <c r="BM15" s="32">
        <f t="shared" si="10"/>
        <v>280.59835327217104</v>
      </c>
      <c r="BN15" s="74"/>
      <c r="BO15" s="101">
        <v>2310</v>
      </c>
      <c r="BP15" s="77">
        <f t="shared" si="2"/>
        <v>6.2238575962260435E-3</v>
      </c>
      <c r="BQ15" s="78">
        <f t="shared" si="11"/>
        <v>602.93977678880299</v>
      </c>
      <c r="BR15" s="102">
        <f t="shared" si="18"/>
        <v>25157.781781264803</v>
      </c>
      <c r="BS15" s="78">
        <f t="shared" si="19"/>
        <v>1229.9249070085757</v>
      </c>
      <c r="BV15" s="101">
        <v>456</v>
      </c>
      <c r="BW15" s="31">
        <f t="shared" si="3"/>
        <v>1.2286056553589074E-3</v>
      </c>
      <c r="BX15" s="32">
        <f t="shared" si="4"/>
        <v>119.02187801545202</v>
      </c>
      <c r="BY15" s="32">
        <f t="shared" si="20"/>
        <v>13215.884813055609</v>
      </c>
      <c r="BZ15" s="32">
        <f t="shared" si="21"/>
        <v>241.32479110766945</v>
      </c>
      <c r="CA15" s="32"/>
      <c r="CB15" s="115"/>
      <c r="CC15" s="96" t="s">
        <v>12</v>
      </c>
      <c r="CD15" s="81">
        <v>6909</v>
      </c>
      <c r="CE15" s="65">
        <v>456</v>
      </c>
      <c r="CF15" s="31">
        <f t="shared" si="12"/>
        <v>0.93399913156752068</v>
      </c>
      <c r="CG15" s="31">
        <f t="shared" si="13"/>
        <v>0.98260286155017251</v>
      </c>
      <c r="CH15" s="67">
        <f t="shared" si="22"/>
        <v>96996.536395102783</v>
      </c>
      <c r="CI15" s="31">
        <f t="shared" si="14"/>
        <v>3.5099461319923701E-3</v>
      </c>
      <c r="CJ15" s="32">
        <f t="shared" si="15"/>
        <v>1687.4621728193338</v>
      </c>
      <c r="CK15" s="32">
        <f t="shared" si="16"/>
        <v>480765.83211306162</v>
      </c>
      <c r="CL15" s="32">
        <f t="shared" si="23"/>
        <v>3120745.9041655418</v>
      </c>
      <c r="CM15" s="32">
        <f t="shared" si="24"/>
        <v>32.173787025276745</v>
      </c>
    </row>
    <row r="16" spans="1:93" x14ac:dyDescent="0.55000000000000004">
      <c r="A16" s="96" t="s">
        <v>13</v>
      </c>
      <c r="B16" s="67">
        <v>1688390.0297920001</v>
      </c>
      <c r="C16" s="67">
        <v>1658246.6504250001</v>
      </c>
      <c r="D16" s="101">
        <v>188</v>
      </c>
      <c r="E16" s="101">
        <v>808</v>
      </c>
      <c r="F16" s="101">
        <v>108</v>
      </c>
      <c r="G16" s="101">
        <v>4266</v>
      </c>
      <c r="H16" s="101">
        <v>19</v>
      </c>
      <c r="I16" s="101">
        <v>194</v>
      </c>
      <c r="J16" s="101">
        <v>65</v>
      </c>
      <c r="K16" s="101">
        <v>257</v>
      </c>
      <c r="L16" s="101">
        <v>2278</v>
      </c>
      <c r="M16" s="101">
        <v>480</v>
      </c>
      <c r="N16" s="101">
        <v>789</v>
      </c>
      <c r="O16" s="101">
        <v>14</v>
      </c>
      <c r="P16" s="101">
        <v>32</v>
      </c>
      <c r="Q16" s="101">
        <v>65</v>
      </c>
      <c r="R16" s="101">
        <v>0</v>
      </c>
      <c r="S16" s="101">
        <v>0</v>
      </c>
      <c r="T16" s="101">
        <v>40</v>
      </c>
      <c r="U16" s="101">
        <v>208</v>
      </c>
      <c r="V16" s="101">
        <v>736</v>
      </c>
      <c r="W16" s="66">
        <f t="shared" si="0"/>
        <v>10547</v>
      </c>
      <c r="X16" s="67">
        <f t="shared" si="5"/>
        <v>1673318.3401085001</v>
      </c>
      <c r="Y16" s="31">
        <f t="shared" si="6"/>
        <v>6.3030445236834725</v>
      </c>
      <c r="AA16" s="96" t="s">
        <v>13</v>
      </c>
      <c r="AB16" s="31">
        <f t="shared" si="7"/>
        <v>0.11235160429055588</v>
      </c>
      <c r="AC16" s="31">
        <f t="shared" si="1"/>
        <v>0.48287285248281464</v>
      </c>
      <c r="AD16" s="31">
        <f t="shared" si="1"/>
        <v>6.4542410975425721E-2</v>
      </c>
      <c r="AE16" s="31">
        <f t="shared" si="1"/>
        <v>2.5494252335293157</v>
      </c>
      <c r="AF16" s="31">
        <f t="shared" si="1"/>
        <v>1.1354683412343414E-2</v>
      </c>
      <c r="AG16" s="31">
        <f t="shared" si="1"/>
        <v>0.11593729378919064</v>
      </c>
      <c r="AH16" s="31">
        <f t="shared" si="1"/>
        <v>3.8844969568543254E-2</v>
      </c>
      <c r="AI16" s="31">
        <f t="shared" si="1"/>
        <v>0.15358703352485564</v>
      </c>
      <c r="AJ16" s="31">
        <f t="shared" si="1"/>
        <v>1.3613667796483313</v>
      </c>
      <c r="AK16" s="31">
        <f t="shared" si="1"/>
        <v>0.28685515989078098</v>
      </c>
      <c r="AL16" s="31">
        <f t="shared" si="1"/>
        <v>0.47151816907047123</v>
      </c>
      <c r="AM16" s="31">
        <f t="shared" si="1"/>
        <v>8.366608830147778E-3</v>
      </c>
      <c r="AN16" s="31">
        <f t="shared" si="1"/>
        <v>1.9123677326052066E-2</v>
      </c>
      <c r="AO16" s="31">
        <f t="shared" si="1"/>
        <v>3.8844969568543254E-2</v>
      </c>
      <c r="AP16" s="34">
        <f t="shared" si="1"/>
        <v>0</v>
      </c>
      <c r="AQ16" s="34">
        <f t="shared" si="1"/>
        <v>0</v>
      </c>
      <c r="AR16" s="31">
        <f t="shared" si="1"/>
        <v>2.3904596657565079E-2</v>
      </c>
      <c r="AS16" s="31">
        <f t="shared" si="1"/>
        <v>0.12430390261933842</v>
      </c>
      <c r="AT16" s="31">
        <f t="shared" si="1"/>
        <v>0.4398445784991975</v>
      </c>
      <c r="AU16" s="72"/>
      <c r="AV16" s="96" t="s">
        <v>13</v>
      </c>
      <c r="AW16" s="67">
        <v>1673318.3401085001</v>
      </c>
      <c r="AX16" s="34">
        <v>10547</v>
      </c>
      <c r="AY16" s="31">
        <v>6.3030445236834723E-3</v>
      </c>
      <c r="AZ16" s="33">
        <v>2.5</v>
      </c>
      <c r="BA16" s="31">
        <v>3.1026321897600583E-2</v>
      </c>
      <c r="BB16" s="31">
        <v>0.96897367810239943</v>
      </c>
      <c r="BC16" s="32">
        <v>95072.235885726433</v>
      </c>
      <c r="BD16" s="32">
        <v>2949.7417941151621</v>
      </c>
      <c r="BE16" s="32">
        <v>467986.82494334423</v>
      </c>
      <c r="BF16" s="32">
        <v>2515750.0126609541</v>
      </c>
      <c r="BG16" s="32">
        <v>26.461458376605336</v>
      </c>
      <c r="BI16" s="34">
        <v>656</v>
      </c>
      <c r="BJ16" s="31">
        <f t="shared" si="8"/>
        <v>1.9297683857804099E-3</v>
      </c>
      <c r="BK16" s="32">
        <f t="shared" si="9"/>
        <v>183.46739517773267</v>
      </c>
      <c r="BL16" s="32">
        <f t="shared" si="17"/>
        <v>27572.28620156999</v>
      </c>
      <c r="BM16" s="32">
        <f t="shared" si="10"/>
        <v>464.06574844990371</v>
      </c>
      <c r="BN16" s="74"/>
      <c r="BO16" s="101">
        <v>4266</v>
      </c>
      <c r="BP16" s="77">
        <f t="shared" si="2"/>
        <v>1.2549377947773215E-2</v>
      </c>
      <c r="BQ16" s="78">
        <f t="shared" si="11"/>
        <v>1193.0974204698286</v>
      </c>
      <c r="BR16" s="102">
        <f t="shared" si="18"/>
        <v>24554.842004475999</v>
      </c>
      <c r="BS16" s="78">
        <f t="shared" si="19"/>
        <v>2423.0223274784043</v>
      </c>
      <c r="BV16" s="101">
        <v>808</v>
      </c>
      <c r="BW16" s="31">
        <f t="shared" si="3"/>
        <v>2.3769098410222123E-3</v>
      </c>
      <c r="BX16" s="32">
        <f t="shared" si="4"/>
        <v>225.9781330847683</v>
      </c>
      <c r="BY16" s="32">
        <f t="shared" si="20"/>
        <v>13096.862935040157</v>
      </c>
      <c r="BZ16" s="32">
        <f t="shared" si="21"/>
        <v>467.30292419243779</v>
      </c>
      <c r="CA16" s="32"/>
      <c r="CB16" s="115"/>
      <c r="CC16" s="96" t="s">
        <v>13</v>
      </c>
      <c r="CD16" s="81">
        <v>10547</v>
      </c>
      <c r="CE16" s="65">
        <v>808</v>
      </c>
      <c r="CF16" s="31">
        <f t="shared" si="12"/>
        <v>0.92339053759362855</v>
      </c>
      <c r="CG16" s="31">
        <f t="shared" si="13"/>
        <v>0.97131615407275607</v>
      </c>
      <c r="CH16" s="67">
        <f t="shared" si="22"/>
        <v>95309.074222283452</v>
      </c>
      <c r="CI16" s="31">
        <f t="shared" si="14"/>
        <v>5.8201716712006583E-3</v>
      </c>
      <c r="CJ16" s="32">
        <f t="shared" si="15"/>
        <v>2733.830800460235</v>
      </c>
      <c r="CK16" s="32">
        <f t="shared" si="16"/>
        <v>469716.52296576777</v>
      </c>
      <c r="CL16" s="32">
        <f t="shared" si="23"/>
        <v>2639980.0720524802</v>
      </c>
      <c r="CM16" s="32">
        <f t="shared" si="24"/>
        <v>27.699147154607946</v>
      </c>
    </row>
    <row r="17" spans="1:91" x14ac:dyDescent="0.55000000000000004">
      <c r="A17" s="96" t="s">
        <v>14</v>
      </c>
      <c r="B17" s="67">
        <v>1464713.3509120001</v>
      </c>
      <c r="C17" s="67">
        <v>1416706.8580070001</v>
      </c>
      <c r="D17" s="101">
        <v>153</v>
      </c>
      <c r="E17" s="101">
        <v>1516</v>
      </c>
      <c r="F17" s="101">
        <v>167</v>
      </c>
      <c r="G17" s="101">
        <v>6414</v>
      </c>
      <c r="H17" s="101">
        <v>36</v>
      </c>
      <c r="I17" s="101">
        <v>298</v>
      </c>
      <c r="J17" s="101">
        <v>101</v>
      </c>
      <c r="K17" s="101">
        <v>337</v>
      </c>
      <c r="L17" s="101">
        <v>3047</v>
      </c>
      <c r="M17" s="101">
        <v>811</v>
      </c>
      <c r="N17" s="101">
        <v>882</v>
      </c>
      <c r="O17" s="101">
        <v>11</v>
      </c>
      <c r="P17" s="101">
        <v>34</v>
      </c>
      <c r="Q17" s="101">
        <v>132</v>
      </c>
      <c r="R17" s="101">
        <v>0</v>
      </c>
      <c r="S17" s="101">
        <v>1</v>
      </c>
      <c r="T17" s="101">
        <v>38</v>
      </c>
      <c r="U17" s="101">
        <v>235</v>
      </c>
      <c r="V17" s="101">
        <v>647</v>
      </c>
      <c r="W17" s="66">
        <f t="shared" si="0"/>
        <v>14860</v>
      </c>
      <c r="X17" s="67">
        <f t="shared" si="5"/>
        <v>1440710.1044594999</v>
      </c>
      <c r="Y17" s="31">
        <f t="shared" si="6"/>
        <v>10.314358144642091</v>
      </c>
      <c r="AA17" s="96" t="s">
        <v>14</v>
      </c>
      <c r="AB17" s="31">
        <f t="shared" si="7"/>
        <v>0.10619763096434992</v>
      </c>
      <c r="AC17" s="31">
        <f t="shared" si="1"/>
        <v>1.0522588793591796</v>
      </c>
      <c r="AD17" s="31">
        <f t="shared" si="1"/>
        <v>0.11591506124866952</v>
      </c>
      <c r="AE17" s="31">
        <f t="shared" si="1"/>
        <v>4.4519712745447082</v>
      </c>
      <c r="AF17" s="31">
        <f t="shared" si="1"/>
        <v>2.4987677873964689E-2</v>
      </c>
      <c r="AG17" s="31">
        <f t="shared" si="1"/>
        <v>0.20684244462337437</v>
      </c>
      <c r="AH17" s="31">
        <f t="shared" si="1"/>
        <v>7.0104318479734265E-2</v>
      </c>
      <c r="AI17" s="31">
        <f t="shared" si="1"/>
        <v>0.23391242898683609</v>
      </c>
      <c r="AJ17" s="31">
        <f t="shared" si="1"/>
        <v>2.1149292911658444</v>
      </c>
      <c r="AK17" s="31">
        <f t="shared" si="1"/>
        <v>0.56291685432737115</v>
      </c>
      <c r="AL17" s="31">
        <f t="shared" si="1"/>
        <v>0.6121981079121348</v>
      </c>
      <c r="AM17" s="31">
        <f t="shared" si="1"/>
        <v>7.6351237948225435E-3</v>
      </c>
      <c r="AN17" s="31">
        <f t="shared" si="1"/>
        <v>2.3599473547633316E-2</v>
      </c>
      <c r="AO17" s="31">
        <f t="shared" si="1"/>
        <v>9.1621485537870515E-2</v>
      </c>
      <c r="AP17" s="34">
        <f t="shared" si="1"/>
        <v>0</v>
      </c>
      <c r="AQ17" s="31">
        <f t="shared" si="1"/>
        <v>6.9410216316568576E-4</v>
      </c>
      <c r="AR17" s="31">
        <f t="shared" si="1"/>
        <v>2.6375882200296057E-2</v>
      </c>
      <c r="AS17" s="31">
        <f t="shared" si="1"/>
        <v>0.16311400834393616</v>
      </c>
      <c r="AT17" s="31">
        <f t="shared" si="1"/>
        <v>0.44908409956819867</v>
      </c>
      <c r="AU17" s="72"/>
      <c r="AV17" s="96" t="s">
        <v>14</v>
      </c>
      <c r="AW17" s="67">
        <v>1440710.1044594999</v>
      </c>
      <c r="AX17" s="34">
        <v>14860</v>
      </c>
      <c r="AY17" s="31">
        <v>1.0314358144642091E-2</v>
      </c>
      <c r="AZ17" s="33">
        <v>2.5</v>
      </c>
      <c r="BA17" s="31">
        <v>5.0275394657313559E-2</v>
      </c>
      <c r="BB17" s="31">
        <v>0.94972460534268643</v>
      </c>
      <c r="BC17" s="32">
        <v>92122.494091611268</v>
      </c>
      <c r="BD17" s="32">
        <v>4631.4947472717931</v>
      </c>
      <c r="BE17" s="32">
        <v>449033.73358987685</v>
      </c>
      <c r="BF17" s="32">
        <v>2047763.18771761</v>
      </c>
      <c r="BG17" s="32">
        <v>22.228698950347685</v>
      </c>
      <c r="BI17" s="34">
        <v>1026</v>
      </c>
      <c r="BJ17" s="31">
        <f t="shared" si="8"/>
        <v>3.4712351896637756E-3</v>
      </c>
      <c r="BK17" s="32">
        <f t="shared" si="9"/>
        <v>319.77884325039429</v>
      </c>
      <c r="BL17" s="32">
        <f t="shared" si="17"/>
        <v>27388.818806392257</v>
      </c>
      <c r="BM17" s="32">
        <f t="shared" si="10"/>
        <v>783.844591700298</v>
      </c>
      <c r="BN17" s="74"/>
      <c r="BO17" s="101">
        <v>6414</v>
      </c>
      <c r="BP17" s="77">
        <f t="shared" si="2"/>
        <v>2.1700294840646648E-2</v>
      </c>
      <c r="BQ17" s="78">
        <f t="shared" si="11"/>
        <v>1999.0852832436933</v>
      </c>
      <c r="BR17" s="102">
        <f t="shared" si="18"/>
        <v>23361.74458400617</v>
      </c>
      <c r="BS17" s="78">
        <f t="shared" si="19"/>
        <v>4422.1076107220979</v>
      </c>
      <c r="BV17" s="101">
        <v>1516</v>
      </c>
      <c r="BW17" s="31">
        <f t="shared" si="3"/>
        <v>5.1290375706922846E-3</v>
      </c>
      <c r="BX17" s="32">
        <f t="shared" si="4"/>
        <v>472.4997333017522</v>
      </c>
      <c r="BY17" s="32">
        <f t="shared" si="20"/>
        <v>12870.884801955388</v>
      </c>
      <c r="BZ17" s="83">
        <f t="shared" si="21"/>
        <v>939.80265749419004</v>
      </c>
      <c r="CA17" s="83"/>
      <c r="CB17" s="116"/>
      <c r="CC17" s="96" t="s">
        <v>14</v>
      </c>
      <c r="CD17" s="81">
        <v>14860</v>
      </c>
      <c r="CE17" s="64">
        <v>1516</v>
      </c>
      <c r="CF17" s="31">
        <f t="shared" si="12"/>
        <v>0.89798115746971741</v>
      </c>
      <c r="CG17" s="31">
        <f t="shared" si="13"/>
        <v>0.95473566769866702</v>
      </c>
      <c r="CH17" s="67">
        <f t="shared" si="22"/>
        <v>92575.243421823223</v>
      </c>
      <c r="CI17" s="31">
        <f t="shared" si="14"/>
        <v>9.2620992652829113E-3</v>
      </c>
      <c r="CJ17" s="32">
        <f t="shared" si="15"/>
        <v>4190.3565811221961</v>
      </c>
      <c r="CK17" s="32">
        <f t="shared" si="16"/>
        <v>452419.74428290705</v>
      </c>
      <c r="CL17" s="32">
        <f t="shared" si="23"/>
        <v>2170263.5490867123</v>
      </c>
      <c r="CM17" s="32">
        <f t="shared" si="24"/>
        <v>23.443238914293854</v>
      </c>
    </row>
    <row r="18" spans="1:91" x14ac:dyDescent="0.55000000000000004">
      <c r="A18" s="96" t="s">
        <v>15</v>
      </c>
      <c r="B18" s="67">
        <v>1187560.6054739999</v>
      </c>
      <c r="C18" s="67">
        <v>1160177.6192840002</v>
      </c>
      <c r="D18" s="101">
        <v>201</v>
      </c>
      <c r="E18" s="101">
        <v>2205</v>
      </c>
      <c r="F18" s="101">
        <v>237</v>
      </c>
      <c r="G18" s="101">
        <v>7936</v>
      </c>
      <c r="H18" s="101">
        <v>48</v>
      </c>
      <c r="I18" s="101">
        <v>431</v>
      </c>
      <c r="J18" s="101">
        <v>184</v>
      </c>
      <c r="K18" s="101">
        <v>535</v>
      </c>
      <c r="L18" s="101">
        <v>3642</v>
      </c>
      <c r="M18" s="101">
        <v>1188</v>
      </c>
      <c r="N18" s="101">
        <v>983</v>
      </c>
      <c r="O18" s="101">
        <v>22</v>
      </c>
      <c r="P18" s="101">
        <v>69</v>
      </c>
      <c r="Q18" s="101">
        <v>214</v>
      </c>
      <c r="R18" s="101">
        <v>0</v>
      </c>
      <c r="S18" s="101">
        <v>1</v>
      </c>
      <c r="T18" s="101">
        <v>27</v>
      </c>
      <c r="U18" s="101">
        <v>217</v>
      </c>
      <c r="V18" s="101">
        <v>580</v>
      </c>
      <c r="W18" s="66">
        <f t="shared" si="0"/>
        <v>18720</v>
      </c>
      <c r="X18" s="67">
        <f t="shared" si="5"/>
        <v>1173869.1123790001</v>
      </c>
      <c r="Y18" s="31">
        <f t="shared" si="6"/>
        <v>15.94726345773036</v>
      </c>
      <c r="AA18" s="96" t="s">
        <v>15</v>
      </c>
      <c r="AB18" s="31">
        <f t="shared" si="7"/>
        <v>0.17122863007498942</v>
      </c>
      <c r="AC18" s="31">
        <f t="shared" si="1"/>
        <v>1.8784036284345855</v>
      </c>
      <c r="AD18" s="31">
        <f t="shared" si="1"/>
        <v>0.20189644441677859</v>
      </c>
      <c r="AE18" s="31">
        <f t="shared" si="1"/>
        <v>6.7605492949010753</v>
      </c>
      <c r="AF18" s="31">
        <f t="shared" ref="AF18:AT25" si="25">H18*1000/$X18</f>
        <v>4.0890419122385536E-2</v>
      </c>
      <c r="AG18" s="31">
        <f t="shared" si="25"/>
        <v>0.36716188836975344</v>
      </c>
      <c r="AH18" s="31">
        <f t="shared" si="25"/>
        <v>0.15674660663581122</v>
      </c>
      <c r="AI18" s="31">
        <f t="shared" si="25"/>
        <v>0.45575779646825548</v>
      </c>
      <c r="AJ18" s="31">
        <f t="shared" si="25"/>
        <v>3.1025605509110026</v>
      </c>
      <c r="AK18" s="31">
        <f t="shared" si="25"/>
        <v>1.012037873279042</v>
      </c>
      <c r="AL18" s="31">
        <f t="shared" si="25"/>
        <v>0.83740170827718718</v>
      </c>
      <c r="AM18" s="31">
        <f t="shared" si="25"/>
        <v>1.8741442097760037E-2</v>
      </c>
      <c r="AN18" s="31">
        <f t="shared" si="25"/>
        <v>5.8779977488429211E-2</v>
      </c>
      <c r="AO18" s="31">
        <f t="shared" si="25"/>
        <v>0.18230311858730219</v>
      </c>
      <c r="AP18" s="34">
        <f t="shared" si="25"/>
        <v>0</v>
      </c>
      <c r="AQ18" s="31">
        <f t="shared" si="25"/>
        <v>8.5188373171636534E-4</v>
      </c>
      <c r="AR18" s="31">
        <f t="shared" si="25"/>
        <v>2.3000860756341866E-2</v>
      </c>
      <c r="AS18" s="31">
        <f t="shared" si="25"/>
        <v>0.18485876978245128</v>
      </c>
      <c r="AT18" s="31">
        <f t="shared" si="25"/>
        <v>0.49409256439549187</v>
      </c>
      <c r="AU18" s="72"/>
      <c r="AV18" s="96" t="s">
        <v>15</v>
      </c>
      <c r="AW18" s="67">
        <v>1173869.1123790001</v>
      </c>
      <c r="AX18" s="34">
        <v>18720</v>
      </c>
      <c r="AY18" s="31">
        <v>1.594726345773036E-2</v>
      </c>
      <c r="AZ18" s="33">
        <v>2.5</v>
      </c>
      <c r="BA18" s="31">
        <v>7.6679256524792405E-2</v>
      </c>
      <c r="BB18" s="31">
        <v>0.92332074347520754</v>
      </c>
      <c r="BC18" s="32">
        <v>87490.999344339478</v>
      </c>
      <c r="BD18" s="32">
        <v>6708.7447823350512</v>
      </c>
      <c r="BE18" s="32">
        <v>420683.13476585975</v>
      </c>
      <c r="BF18" s="32">
        <v>1598729.4541277331</v>
      </c>
      <c r="BG18" s="32">
        <v>18.27307341450739</v>
      </c>
      <c r="BI18" s="34">
        <v>1372</v>
      </c>
      <c r="BJ18" s="31">
        <f t="shared" si="8"/>
        <v>5.6198685871802975E-3</v>
      </c>
      <c r="BK18" s="32">
        <f t="shared" si="9"/>
        <v>491.68791887626543</v>
      </c>
      <c r="BL18" s="32">
        <f t="shared" si="17"/>
        <v>27069.039963141862</v>
      </c>
      <c r="BM18" s="32">
        <f t="shared" si="10"/>
        <v>1275.5325105765635</v>
      </c>
      <c r="BN18" s="74"/>
      <c r="BO18" s="101">
        <v>7936</v>
      </c>
      <c r="BP18" s="77">
        <f t="shared" si="2"/>
        <v>3.2506761740424814E-2</v>
      </c>
      <c r="BQ18" s="78">
        <f t="shared" si="11"/>
        <v>2844.049070118107</v>
      </c>
      <c r="BR18" s="102">
        <f t="shared" si="18"/>
        <v>21362.659300762476</v>
      </c>
      <c r="BS18" s="78">
        <f t="shared" si="19"/>
        <v>7266.1566808402049</v>
      </c>
      <c r="BV18" s="101">
        <v>2205</v>
      </c>
      <c r="BW18" s="31">
        <f t="shared" si="3"/>
        <v>9.0319316579683361E-3</v>
      </c>
      <c r="BX18" s="32">
        <f t="shared" si="4"/>
        <v>790.21272676542662</v>
      </c>
      <c r="BY18" s="32">
        <f t="shared" si="20"/>
        <v>12398.385068653635</v>
      </c>
      <c r="BZ18" s="32">
        <f t="shared" si="21"/>
        <v>1730.0153842596167</v>
      </c>
      <c r="CA18" s="32"/>
      <c r="CB18" s="115"/>
      <c r="CC18" s="96" t="s">
        <v>15</v>
      </c>
      <c r="CD18" s="81">
        <v>18720</v>
      </c>
      <c r="CE18" s="64">
        <v>2205</v>
      </c>
      <c r="CF18" s="31">
        <f t="shared" si="12"/>
        <v>0.88221153846153844</v>
      </c>
      <c r="CG18" s="31">
        <f t="shared" si="13"/>
        <v>0.93203808184420678</v>
      </c>
      <c r="CH18" s="67">
        <f t="shared" si="22"/>
        <v>88384.88684070103</v>
      </c>
      <c r="CI18" s="31">
        <f t="shared" si="14"/>
        <v>1.4068859829295776E-2</v>
      </c>
      <c r="CJ18" s="32">
        <f t="shared" si="15"/>
        <v>6006.8064456767688</v>
      </c>
      <c r="CK18" s="32">
        <f t="shared" si="16"/>
        <v>426957.58707956667</v>
      </c>
      <c r="CL18" s="32">
        <f t="shared" si="23"/>
        <v>1717843.8048038052</v>
      </c>
      <c r="CM18" s="32">
        <f t="shared" si="24"/>
        <v>19.435945060380416</v>
      </c>
    </row>
    <row r="19" spans="1:91" x14ac:dyDescent="0.55000000000000004">
      <c r="A19" s="96" t="s">
        <v>16</v>
      </c>
      <c r="B19" s="67">
        <v>1024937.861487</v>
      </c>
      <c r="C19" s="67">
        <v>1028566.103591</v>
      </c>
      <c r="D19" s="101">
        <v>244</v>
      </c>
      <c r="E19" s="101">
        <v>3418</v>
      </c>
      <c r="F19" s="101">
        <v>431</v>
      </c>
      <c r="G19" s="101">
        <v>9716</v>
      </c>
      <c r="H19" s="101">
        <v>69</v>
      </c>
      <c r="I19" s="101">
        <v>692</v>
      </c>
      <c r="J19" s="101">
        <v>354</v>
      </c>
      <c r="K19" s="101">
        <v>928</v>
      </c>
      <c r="L19" s="101">
        <v>5029</v>
      </c>
      <c r="M19" s="101">
        <v>1881</v>
      </c>
      <c r="N19" s="101">
        <v>1212</v>
      </c>
      <c r="O19" s="101">
        <v>61</v>
      </c>
      <c r="P19" s="101">
        <v>83</v>
      </c>
      <c r="Q19" s="101">
        <v>426</v>
      </c>
      <c r="R19" s="101">
        <v>0</v>
      </c>
      <c r="S19" s="101">
        <v>0</v>
      </c>
      <c r="T19" s="101">
        <v>24</v>
      </c>
      <c r="U19" s="101">
        <v>291</v>
      </c>
      <c r="V19" s="101">
        <v>683</v>
      </c>
      <c r="W19" s="66">
        <f t="shared" si="0"/>
        <v>25542</v>
      </c>
      <c r="X19" s="67">
        <f t="shared" si="5"/>
        <v>1026751.982539</v>
      </c>
      <c r="Y19" s="31">
        <f t="shared" si="6"/>
        <v>24.876504194166301</v>
      </c>
      <c r="AA19" s="96" t="s">
        <v>16</v>
      </c>
      <c r="AB19" s="31">
        <f t="shared" si="7"/>
        <v>0.23764258959269352</v>
      </c>
      <c r="AC19" s="31">
        <f t="shared" si="7"/>
        <v>3.3289441443763379</v>
      </c>
      <c r="AD19" s="31">
        <f t="shared" si="7"/>
        <v>0.41977031194447095</v>
      </c>
      <c r="AE19" s="31">
        <f t="shared" si="7"/>
        <v>9.4628500019779107</v>
      </c>
      <c r="AF19" s="31">
        <f t="shared" si="25"/>
        <v>6.7202207712687922E-2</v>
      </c>
      <c r="AG19" s="31">
        <f t="shared" si="25"/>
        <v>0.67396996720550784</v>
      </c>
      <c r="AH19" s="31">
        <f t="shared" si="25"/>
        <v>0.34477654391726847</v>
      </c>
      <c r="AI19" s="31">
        <f t="shared" si="25"/>
        <v>0.90382099648368686</v>
      </c>
      <c r="AJ19" s="31">
        <f t="shared" si="25"/>
        <v>4.8979696027117035</v>
      </c>
      <c r="AK19" s="31">
        <f t="shared" si="25"/>
        <v>1.8319906189502315</v>
      </c>
      <c r="AL19" s="31">
        <f t="shared" si="25"/>
        <v>1.1804213876489531</v>
      </c>
      <c r="AM19" s="31">
        <f t="shared" si="25"/>
        <v>5.941064739817338E-2</v>
      </c>
      <c r="AN19" s="31">
        <f t="shared" si="25"/>
        <v>8.0837438263088368E-2</v>
      </c>
      <c r="AO19" s="31">
        <f t="shared" si="25"/>
        <v>0.41490058674789937</v>
      </c>
      <c r="AP19" s="34">
        <f t="shared" si="25"/>
        <v>0</v>
      </c>
      <c r="AQ19" s="34">
        <f t="shared" si="25"/>
        <v>0</v>
      </c>
      <c r="AR19" s="31">
        <f t="shared" si="25"/>
        <v>2.3374680943543624E-2</v>
      </c>
      <c r="AS19" s="31">
        <f t="shared" si="25"/>
        <v>0.28341800644046644</v>
      </c>
      <c r="AT19" s="31">
        <f t="shared" si="25"/>
        <v>0.66520446185167903</v>
      </c>
      <c r="AU19" s="72"/>
      <c r="AV19" s="96" t="s">
        <v>16</v>
      </c>
      <c r="AW19" s="67">
        <v>1026751.982539</v>
      </c>
      <c r="AX19" s="34">
        <v>25542</v>
      </c>
      <c r="AY19" s="31">
        <v>2.4876504194166302E-2</v>
      </c>
      <c r="AZ19" s="33">
        <v>2.5</v>
      </c>
      <c r="BA19" s="31">
        <v>0.11709992879624086</v>
      </c>
      <c r="BB19" s="31">
        <v>0.88290007120375913</v>
      </c>
      <c r="BC19" s="32">
        <v>80782.254562004426</v>
      </c>
      <c r="BD19" s="32">
        <v>9459.5962572105218</v>
      </c>
      <c r="BE19" s="32">
        <v>380262.28216699581</v>
      </c>
      <c r="BF19" s="32">
        <v>1178046.3193618734</v>
      </c>
      <c r="BG19" s="32">
        <v>14.5829839207776</v>
      </c>
      <c r="BI19" s="34">
        <v>2512</v>
      </c>
      <c r="BJ19" s="31">
        <f t="shared" si="8"/>
        <v>1.1516522634725433E-2</v>
      </c>
      <c r="BK19" s="32">
        <f t="shared" si="9"/>
        <v>930.33066314747589</v>
      </c>
      <c r="BL19" s="32">
        <f t="shared" si="17"/>
        <v>26577.352044265597</v>
      </c>
      <c r="BM19" s="32">
        <f t="shared" si="10"/>
        <v>2205.8631737240394</v>
      </c>
      <c r="BN19" s="74"/>
      <c r="BO19" s="101">
        <v>9716</v>
      </c>
      <c r="BP19" s="77">
        <f t="shared" si="2"/>
        <v>4.4544002356286749E-2</v>
      </c>
      <c r="BQ19" s="78">
        <f t="shared" si="11"/>
        <v>3598.3649375560813</v>
      </c>
      <c r="BR19" s="102">
        <f t="shared" si="18"/>
        <v>18518.610230644368</v>
      </c>
      <c r="BS19" s="78">
        <f t="shared" si="19"/>
        <v>10864.521618396286</v>
      </c>
      <c r="BV19" s="101">
        <v>3418</v>
      </c>
      <c r="BW19" s="31">
        <f t="shared" si="3"/>
        <v>1.5670172916198859E-2</v>
      </c>
      <c r="BX19" s="32">
        <f t="shared" si="4"/>
        <v>1265.8718975470035</v>
      </c>
      <c r="BY19" s="32">
        <f t="shared" si="20"/>
        <v>11608.172341888208</v>
      </c>
      <c r="BZ19" s="32">
        <f t="shared" si="21"/>
        <v>2995.8872818066202</v>
      </c>
      <c r="CA19" s="32"/>
      <c r="CB19" s="115"/>
      <c r="CC19" s="96" t="s">
        <v>16</v>
      </c>
      <c r="CD19" s="81">
        <v>25542</v>
      </c>
      <c r="CE19" s="64">
        <v>3418</v>
      </c>
      <c r="CF19" s="31">
        <f t="shared" si="12"/>
        <v>0.86618119176258712</v>
      </c>
      <c r="CG19" s="31">
        <f t="shared" si="13"/>
        <v>0.89773798937967841</v>
      </c>
      <c r="CH19" s="67">
        <f t="shared" si="22"/>
        <v>82378.080395024255</v>
      </c>
      <c r="CI19" s="31">
        <f t="shared" si="14"/>
        <v>2.1547560049789964E-2</v>
      </c>
      <c r="CJ19" s="32">
        <f t="shared" si="15"/>
        <v>8424.1481322376767</v>
      </c>
      <c r="CK19" s="32">
        <f t="shared" si="16"/>
        <v>390956.01138931699</v>
      </c>
      <c r="CL19" s="32">
        <f>CL18-CK18</f>
        <v>1290886.2177242385</v>
      </c>
      <c r="CM19" s="32">
        <f t="shared" si="24"/>
        <v>15.670263394511069</v>
      </c>
    </row>
    <row r="20" spans="1:91" x14ac:dyDescent="0.55000000000000004">
      <c r="A20" s="96" t="s">
        <v>17</v>
      </c>
      <c r="B20" s="67">
        <v>791420.92440399993</v>
      </c>
      <c r="C20" s="67">
        <v>782021.30897899996</v>
      </c>
      <c r="D20" s="101">
        <v>346</v>
      </c>
      <c r="E20" s="101">
        <v>4872</v>
      </c>
      <c r="F20" s="101">
        <v>740</v>
      </c>
      <c r="G20" s="101">
        <v>10272</v>
      </c>
      <c r="H20" s="101">
        <v>96</v>
      </c>
      <c r="I20" s="101">
        <v>862</v>
      </c>
      <c r="J20" s="101">
        <v>707</v>
      </c>
      <c r="K20" s="101">
        <v>1559</v>
      </c>
      <c r="L20" s="101">
        <v>6523</v>
      </c>
      <c r="M20" s="101">
        <v>2935</v>
      </c>
      <c r="N20" s="101">
        <v>1316</v>
      </c>
      <c r="O20" s="101">
        <v>73</v>
      </c>
      <c r="P20" s="101">
        <v>149</v>
      </c>
      <c r="Q20" s="101">
        <v>677</v>
      </c>
      <c r="R20" s="101">
        <v>0</v>
      </c>
      <c r="S20" s="101">
        <v>1</v>
      </c>
      <c r="T20" s="101">
        <v>9</v>
      </c>
      <c r="U20" s="101">
        <v>344</v>
      </c>
      <c r="V20" s="101">
        <v>702</v>
      </c>
      <c r="W20" s="66">
        <f t="shared" si="0"/>
        <v>32183</v>
      </c>
      <c r="X20" s="67">
        <f t="shared" si="5"/>
        <v>786721.11669149995</v>
      </c>
      <c r="Y20" s="31">
        <f t="shared" si="6"/>
        <v>40.907761743250681</v>
      </c>
      <c r="AA20" s="96" t="s">
        <v>17</v>
      </c>
      <c r="AB20" s="31">
        <f t="shared" si="7"/>
        <v>0.43980006721451503</v>
      </c>
      <c r="AC20" s="31">
        <f t="shared" si="7"/>
        <v>6.1927916978876221</v>
      </c>
      <c r="AD20" s="31">
        <f t="shared" si="7"/>
        <v>0.94061286051659287</v>
      </c>
      <c r="AE20" s="31">
        <f t="shared" si="7"/>
        <v>13.056723382738435</v>
      </c>
      <c r="AF20" s="31">
        <f t="shared" si="25"/>
        <v>0.12202545217512556</v>
      </c>
      <c r="AG20" s="31">
        <f t="shared" si="25"/>
        <v>1.0956868726558149</v>
      </c>
      <c r="AH20" s="31">
        <f t="shared" si="25"/>
        <v>0.89866661133139347</v>
      </c>
      <c r="AI20" s="31">
        <f t="shared" si="25"/>
        <v>1.9816424993856327</v>
      </c>
      <c r="AJ20" s="31">
        <f t="shared" si="25"/>
        <v>8.2913752556077505</v>
      </c>
      <c r="AK20" s="31">
        <f t="shared" si="25"/>
        <v>3.7306739805624325</v>
      </c>
      <c r="AL20" s="31">
        <f t="shared" si="25"/>
        <v>1.6727655735673461</v>
      </c>
      <c r="AM20" s="31">
        <f t="shared" si="25"/>
        <v>9.2790187591501733E-2</v>
      </c>
      <c r="AN20" s="31">
        <f t="shared" si="25"/>
        <v>0.18939367056347611</v>
      </c>
      <c r="AO20" s="31">
        <f t="shared" si="25"/>
        <v>0.86053365752666666</v>
      </c>
      <c r="AP20" s="34">
        <f t="shared" si="25"/>
        <v>0</v>
      </c>
      <c r="AQ20" s="31">
        <f t="shared" si="25"/>
        <v>1.2710984601575579E-3</v>
      </c>
      <c r="AR20" s="31">
        <f t="shared" si="25"/>
        <v>1.1439886141418021E-2</v>
      </c>
      <c r="AS20" s="31">
        <f t="shared" si="25"/>
        <v>0.43725787029419994</v>
      </c>
      <c r="AT20" s="31">
        <f t="shared" si="25"/>
        <v>0.89231111903060567</v>
      </c>
      <c r="AU20" s="72"/>
      <c r="AV20" s="96" t="s">
        <v>17</v>
      </c>
      <c r="AW20" s="67">
        <v>786721.11669149995</v>
      </c>
      <c r="AX20" s="34">
        <v>32183</v>
      </c>
      <c r="AY20" s="31">
        <v>4.0907761743250684E-2</v>
      </c>
      <c r="AZ20" s="33">
        <v>2.5</v>
      </c>
      <c r="BA20" s="31">
        <v>0.18556154049777004</v>
      </c>
      <c r="BB20" s="31">
        <v>0.81443845950222993</v>
      </c>
      <c r="BC20" s="32">
        <v>71322.658304793906</v>
      </c>
      <c r="BD20" s="32">
        <v>13234.74234743363</v>
      </c>
      <c r="BE20" s="32">
        <v>323526.43565538543</v>
      </c>
      <c r="BF20" s="32">
        <v>797784.03719487763</v>
      </c>
      <c r="BG20" s="32">
        <v>11.185562290535868</v>
      </c>
      <c r="BI20" s="34">
        <v>4444</v>
      </c>
      <c r="BJ20" s="31">
        <f t="shared" si="8"/>
        <v>2.5623325543674927E-2</v>
      </c>
      <c r="BK20" s="32">
        <f t="shared" si="9"/>
        <v>1827.5236923840243</v>
      </c>
      <c r="BL20" s="32">
        <f t="shared" si="17"/>
        <v>25647.02138111812</v>
      </c>
      <c r="BM20" s="32">
        <f t="shared" si="10"/>
        <v>4033.3868661080637</v>
      </c>
      <c r="BN20" s="74"/>
      <c r="BO20" s="101">
        <v>10272</v>
      </c>
      <c r="BP20" s="77">
        <f t="shared" si="2"/>
        <v>5.9226552651806659E-2</v>
      </c>
      <c r="BQ20" s="78">
        <f t="shared" si="11"/>
        <v>4224.1951773556921</v>
      </c>
      <c r="BR20" s="102">
        <f t="shared" si="18"/>
        <v>14920.245293088286</v>
      </c>
      <c r="BS20" s="78">
        <f t="shared" si="19"/>
        <v>15088.716795751978</v>
      </c>
      <c r="BV20" s="101">
        <v>4872</v>
      </c>
      <c r="BW20" s="31">
        <f t="shared" si="3"/>
        <v>2.8091098570833535E-2</v>
      </c>
      <c r="BX20" s="32">
        <f t="shared" si="4"/>
        <v>2003.5318247738446</v>
      </c>
      <c r="BY20" s="32">
        <f t="shared" si="20"/>
        <v>10342.300444341205</v>
      </c>
      <c r="BZ20" s="32">
        <f t="shared" si="21"/>
        <v>4999.4191065804644</v>
      </c>
      <c r="CA20" s="32"/>
      <c r="CB20" s="115"/>
      <c r="CC20" s="96" t="s">
        <v>17</v>
      </c>
      <c r="CD20" s="81">
        <v>32183</v>
      </c>
      <c r="CE20" s="64">
        <v>4872</v>
      </c>
      <c r="CF20" s="31">
        <f t="shared" si="12"/>
        <v>0.84861572880091973</v>
      </c>
      <c r="CG20" s="31">
        <f t="shared" si="13"/>
        <v>0.84014245021739098</v>
      </c>
      <c r="CH20" s="67">
        <f t="shared" si="22"/>
        <v>73953.932262786577</v>
      </c>
      <c r="CI20" s="31">
        <f t="shared" si="14"/>
        <v>3.4714970045363058E-2</v>
      </c>
      <c r="CJ20" s="32">
        <f t="shared" si="15"/>
        <v>11822.0944083181</v>
      </c>
      <c r="CK20" s="32">
        <f t="shared" si="16"/>
        <v>340547.44661654113</v>
      </c>
      <c r="CL20" s="32">
        <f t="shared" si="23"/>
        <v>899930.20633492153</v>
      </c>
      <c r="CM20" s="32">
        <f t="shared" si="24"/>
        <v>12.168794529236466</v>
      </c>
    </row>
    <row r="21" spans="1:91" x14ac:dyDescent="0.55000000000000004">
      <c r="A21" s="96" t="s">
        <v>18</v>
      </c>
      <c r="B21" s="67">
        <v>533546.00712100009</v>
      </c>
      <c r="C21" s="67">
        <v>520934.37720799999</v>
      </c>
      <c r="D21" s="101">
        <v>421</v>
      </c>
      <c r="E21" s="101">
        <v>6007</v>
      </c>
      <c r="F21" s="101">
        <v>1142</v>
      </c>
      <c r="G21" s="101">
        <v>9716</v>
      </c>
      <c r="H21" s="101">
        <v>107</v>
      </c>
      <c r="I21" s="101">
        <v>1106</v>
      </c>
      <c r="J21" s="101">
        <v>1190</v>
      </c>
      <c r="K21" s="101">
        <v>2087</v>
      </c>
      <c r="L21" s="101">
        <v>8675</v>
      </c>
      <c r="M21" s="101">
        <v>4181</v>
      </c>
      <c r="N21" s="101">
        <v>1540</v>
      </c>
      <c r="O21" s="101">
        <v>114</v>
      </c>
      <c r="P21" s="101">
        <v>277</v>
      </c>
      <c r="Q21" s="101">
        <v>1248</v>
      </c>
      <c r="R21" s="101">
        <v>0</v>
      </c>
      <c r="S21" s="101">
        <v>0</v>
      </c>
      <c r="T21" s="101">
        <v>12</v>
      </c>
      <c r="U21" s="101">
        <v>479</v>
      </c>
      <c r="V21" s="101">
        <v>909</v>
      </c>
      <c r="W21" s="66">
        <f t="shared" si="0"/>
        <v>39211</v>
      </c>
      <c r="X21" s="67">
        <f t="shared" si="5"/>
        <v>527240.19216450001</v>
      </c>
      <c r="Y21" s="31">
        <f t="shared" si="6"/>
        <v>74.370278637191021</v>
      </c>
      <c r="AA21" s="96" t="s">
        <v>18</v>
      </c>
      <c r="AB21" s="31">
        <f t="shared" si="7"/>
        <v>0.79849754676640272</v>
      </c>
      <c r="AC21" s="31">
        <f t="shared" si="7"/>
        <v>11.393289224289266</v>
      </c>
      <c r="AD21" s="31">
        <f t="shared" si="7"/>
        <v>2.1659957206822611</v>
      </c>
      <c r="AE21" s="31">
        <f t="shared" si="7"/>
        <v>18.428033644613702</v>
      </c>
      <c r="AF21" s="31">
        <f t="shared" si="25"/>
        <v>0.20294355701663916</v>
      </c>
      <c r="AG21" s="31">
        <f t="shared" si="25"/>
        <v>2.0977156454243264</v>
      </c>
      <c r="AH21" s="31">
        <f t="shared" si="25"/>
        <v>2.2570358210261738</v>
      </c>
      <c r="AI21" s="31">
        <f t="shared" si="25"/>
        <v>3.9583476962030462</v>
      </c>
      <c r="AJ21" s="31">
        <f t="shared" si="25"/>
        <v>16.45360146840509</v>
      </c>
      <c r="AK21" s="31">
        <f t="shared" si="25"/>
        <v>7.9299720737062467</v>
      </c>
      <c r="AL21" s="31">
        <f t="shared" si="25"/>
        <v>2.9208698860338722</v>
      </c>
      <c r="AM21" s="31">
        <f t="shared" si="25"/>
        <v>0.21622023831679313</v>
      </c>
      <c r="AN21" s="31">
        <f t="shared" si="25"/>
        <v>0.52537724573466404</v>
      </c>
      <c r="AO21" s="31">
        <f t="shared" si="25"/>
        <v>2.3670426089417353</v>
      </c>
      <c r="AP21" s="34">
        <f t="shared" si="25"/>
        <v>0</v>
      </c>
      <c r="AQ21" s="34">
        <f t="shared" si="25"/>
        <v>0</v>
      </c>
      <c r="AR21" s="31">
        <f t="shared" si="25"/>
        <v>2.2760025085978224E-2</v>
      </c>
      <c r="AS21" s="31">
        <f t="shared" si="25"/>
        <v>0.90850433468196412</v>
      </c>
      <c r="AT21" s="31">
        <f t="shared" si="25"/>
        <v>1.7240719002628506</v>
      </c>
      <c r="AU21" s="72"/>
      <c r="AV21" s="96" t="s">
        <v>18</v>
      </c>
      <c r="AW21" s="67">
        <v>527240.19216450001</v>
      </c>
      <c r="AX21" s="34">
        <v>39211</v>
      </c>
      <c r="AY21" s="31">
        <v>7.437027863719102E-2</v>
      </c>
      <c r="AZ21" s="33">
        <v>2.5</v>
      </c>
      <c r="BA21" s="31">
        <v>0.31355370260905857</v>
      </c>
      <c r="BB21" s="31">
        <v>0.68644629739094143</v>
      </c>
      <c r="BC21" s="32">
        <v>58087.915957360274</v>
      </c>
      <c r="BD21" s="32">
        <v>18213.681125274132</v>
      </c>
      <c r="BE21" s="32">
        <v>244905.37697361602</v>
      </c>
      <c r="BF21" s="32">
        <v>474257.6015394922</v>
      </c>
      <c r="BG21" s="32">
        <v>8.1644795431742363</v>
      </c>
      <c r="BI21" s="34">
        <v>8842</v>
      </c>
      <c r="BJ21" s="31">
        <f t="shared" si="8"/>
        <v>7.0705716214054623E-2</v>
      </c>
      <c r="BK21" s="32">
        <f t="shared" si="9"/>
        <v>4107.1477011469706</v>
      </c>
      <c r="BL21" s="32">
        <f t="shared" si="17"/>
        <v>23819.497688734096</v>
      </c>
      <c r="BM21" s="32">
        <f t="shared" si="10"/>
        <v>8140.5345672550338</v>
      </c>
      <c r="BN21" s="74"/>
      <c r="BO21" s="101">
        <v>9716</v>
      </c>
      <c r="BP21" s="77">
        <f t="shared" si="2"/>
        <v>7.7694722770386193E-2</v>
      </c>
      <c r="BQ21" s="78">
        <f t="shared" si="11"/>
        <v>4513.1245266165988</v>
      </c>
      <c r="BR21" s="102">
        <f t="shared" si="18"/>
        <v>10696.050115732594</v>
      </c>
      <c r="BS21" s="78">
        <f t="shared" si="19"/>
        <v>19601.841322368578</v>
      </c>
      <c r="BV21" s="101">
        <v>6007</v>
      </c>
      <c r="BW21" s="31">
        <f t="shared" si="3"/>
        <v>4.8035426068516865E-2</v>
      </c>
      <c r="BX21" s="32">
        <f t="shared" si="4"/>
        <v>2790.2777924440006</v>
      </c>
      <c r="BY21" s="32">
        <f t="shared" si="20"/>
        <v>8338.7686195673596</v>
      </c>
      <c r="BZ21" s="32">
        <f t="shared" si="21"/>
        <v>7789.696899024465</v>
      </c>
      <c r="CA21" s="32"/>
      <c r="CB21" s="115"/>
      <c r="CC21" s="96" t="s">
        <v>18</v>
      </c>
      <c r="CD21" s="81">
        <v>39211</v>
      </c>
      <c r="CE21" s="64">
        <v>6007</v>
      </c>
      <c r="CF21" s="31">
        <f t="shared" si="12"/>
        <v>0.84680319298156126</v>
      </c>
      <c r="CG21" s="31">
        <f t="shared" si="13"/>
        <v>0.72717329127862229</v>
      </c>
      <c r="CH21" s="67">
        <f t="shared" si="22"/>
        <v>62131.837854468475</v>
      </c>
      <c r="CI21" s="31">
        <f t="shared" si="14"/>
        <v>6.2976989412901765E-2</v>
      </c>
      <c r="CJ21" s="32">
        <f t="shared" si="15"/>
        <v>16951.224828644939</v>
      </c>
      <c r="CK21" s="32">
        <f t="shared" si="16"/>
        <v>269165.3727285387</v>
      </c>
      <c r="CL21" s="32">
        <f t="shared" si="23"/>
        <v>559382.7597183804</v>
      </c>
      <c r="CM21" s="32">
        <f t="shared" si="24"/>
        <v>9.0031581075812337</v>
      </c>
    </row>
    <row r="22" spans="1:91" x14ac:dyDescent="0.55000000000000004">
      <c r="A22" s="96" t="s">
        <v>19</v>
      </c>
      <c r="B22" s="67">
        <v>366343.86362299998</v>
      </c>
      <c r="C22" s="67">
        <v>367030.77844000002</v>
      </c>
      <c r="D22" s="101">
        <v>524</v>
      </c>
      <c r="E22" s="101">
        <v>7143</v>
      </c>
      <c r="F22" s="101">
        <v>1681</v>
      </c>
      <c r="G22" s="101">
        <v>9087</v>
      </c>
      <c r="H22" s="101">
        <v>192</v>
      </c>
      <c r="I22" s="101">
        <v>1501</v>
      </c>
      <c r="J22" s="101">
        <v>2033</v>
      </c>
      <c r="K22" s="101">
        <v>2619</v>
      </c>
      <c r="L22" s="101">
        <v>11768</v>
      </c>
      <c r="M22" s="101">
        <v>5870</v>
      </c>
      <c r="N22" s="101">
        <v>1842</v>
      </c>
      <c r="O22" s="101">
        <v>153</v>
      </c>
      <c r="P22" s="101">
        <v>459</v>
      </c>
      <c r="Q22" s="101">
        <v>1841</v>
      </c>
      <c r="R22" s="101">
        <v>0</v>
      </c>
      <c r="S22" s="101">
        <v>0</v>
      </c>
      <c r="T22" s="101">
        <v>11</v>
      </c>
      <c r="U22" s="101">
        <v>766</v>
      </c>
      <c r="V22" s="101">
        <v>1066</v>
      </c>
      <c r="W22" s="66">
        <f t="shared" si="0"/>
        <v>48556</v>
      </c>
      <c r="X22" s="67">
        <f t="shared" si="5"/>
        <v>366687.3210315</v>
      </c>
      <c r="Y22" s="31">
        <f t="shared" si="6"/>
        <v>132.41799542839615</v>
      </c>
      <c r="AA22" s="96" t="s">
        <v>19</v>
      </c>
      <c r="AB22" s="31">
        <f t="shared" si="7"/>
        <v>1.4290104128115904</v>
      </c>
      <c r="AC22" s="31">
        <f t="shared" si="7"/>
        <v>19.479811791437385</v>
      </c>
      <c r="AD22" s="31">
        <f t="shared" si="7"/>
        <v>4.584287221252449</v>
      </c>
      <c r="AE22" s="31">
        <f t="shared" si="7"/>
        <v>24.781331338204051</v>
      </c>
      <c r="AF22" s="31">
        <f t="shared" si="25"/>
        <v>0.52360686881646057</v>
      </c>
      <c r="AG22" s="31">
        <f t="shared" si="25"/>
        <v>4.093405781737018</v>
      </c>
      <c r="AH22" s="31">
        <f t="shared" si="25"/>
        <v>5.5442331474159605</v>
      </c>
      <c r="AI22" s="31">
        <f t="shared" si="25"/>
        <v>7.1423249449495332</v>
      </c>
      <c r="AJ22" s="31">
        <f t="shared" si="25"/>
        <v>32.092737667875568</v>
      </c>
      <c r="AK22" s="31">
        <f t="shared" si="25"/>
        <v>16.008189166419914</v>
      </c>
      <c r="AL22" s="31">
        <f t="shared" si="25"/>
        <v>5.0233533977079192</v>
      </c>
      <c r="AM22" s="31">
        <f t="shared" si="25"/>
        <v>0.41724922358811706</v>
      </c>
      <c r="AN22" s="31">
        <f t="shared" si="25"/>
        <v>1.2517476707643511</v>
      </c>
      <c r="AO22" s="31">
        <f t="shared" si="25"/>
        <v>5.0206262785994999</v>
      </c>
      <c r="AP22" s="34">
        <f t="shared" si="25"/>
        <v>0</v>
      </c>
      <c r="AQ22" s="34">
        <f t="shared" si="25"/>
        <v>0</v>
      </c>
      <c r="AR22" s="31">
        <f t="shared" si="25"/>
        <v>2.9998310192609724E-2</v>
      </c>
      <c r="AS22" s="31">
        <f t="shared" si="25"/>
        <v>2.0889732370490042</v>
      </c>
      <c r="AT22" s="31">
        <f t="shared" si="25"/>
        <v>2.9071089695747241</v>
      </c>
      <c r="AU22" s="72"/>
      <c r="AV22" s="96" t="s">
        <v>19</v>
      </c>
      <c r="AW22" s="67">
        <v>366687.3210315</v>
      </c>
      <c r="AX22" s="34">
        <v>48556</v>
      </c>
      <c r="AY22" s="31">
        <v>0.13241799542839616</v>
      </c>
      <c r="AZ22" s="33">
        <v>2.5</v>
      </c>
      <c r="BA22" s="31">
        <v>0.49742118623112846</v>
      </c>
      <c r="BB22" s="31">
        <v>0.50257881376887159</v>
      </c>
      <c r="BC22" s="32">
        <v>39874.234832086142</v>
      </c>
      <c r="BD22" s="32">
        <v>19834.289190234871</v>
      </c>
      <c r="BE22" s="32">
        <v>149785.45118484355</v>
      </c>
      <c r="BF22" s="32">
        <v>229352.22456587618</v>
      </c>
      <c r="BG22" s="32">
        <v>5.751890300383149</v>
      </c>
      <c r="BI22" s="34">
        <v>16623</v>
      </c>
      <c r="BJ22" s="31">
        <f t="shared" si="8"/>
        <v>0.1702906412950006</v>
      </c>
      <c r="BK22" s="32">
        <f t="shared" si="9"/>
        <v>6790.2090207033998</v>
      </c>
      <c r="BL22" s="32">
        <f t="shared" si="17"/>
        <v>19712.349987587128</v>
      </c>
      <c r="BM22" s="32">
        <f t="shared" si="10"/>
        <v>14930.743587958434</v>
      </c>
      <c r="BN22" s="74"/>
      <c r="BO22" s="101">
        <v>9087</v>
      </c>
      <c r="BP22" s="77">
        <f t="shared" si="2"/>
        <v>9.3089758614430015E-2</v>
      </c>
      <c r="BQ22" s="78">
        <f t="shared" si="11"/>
        <v>3711.8828954539963</v>
      </c>
      <c r="BR22" s="102">
        <f t="shared" si="18"/>
        <v>6182.9255891159955</v>
      </c>
      <c r="BS22" s="78">
        <f t="shared" si="19"/>
        <v>23313.724217822575</v>
      </c>
      <c r="BV22" s="101">
        <v>7143</v>
      </c>
      <c r="BW22" s="31">
        <f t="shared" si="3"/>
        <v>7.3174881235047173E-2</v>
      </c>
      <c r="BX22" s="32">
        <f t="shared" si="4"/>
        <v>2917.7923981762847</v>
      </c>
      <c r="BY22" s="32">
        <f t="shared" si="20"/>
        <v>5548.4908271233589</v>
      </c>
      <c r="BZ22" s="32">
        <f t="shared" si="21"/>
        <v>10707.489297200749</v>
      </c>
      <c r="CA22" s="32"/>
      <c r="CB22" s="115"/>
      <c r="CC22" s="96" t="s">
        <v>19</v>
      </c>
      <c r="CD22" s="81">
        <v>48556</v>
      </c>
      <c r="CE22" s="64">
        <v>7143</v>
      </c>
      <c r="CF22" s="31">
        <f t="shared" si="12"/>
        <v>0.85289150671389735</v>
      </c>
      <c r="CG22" s="31">
        <f t="shared" si="13"/>
        <v>0.55610856023974919</v>
      </c>
      <c r="CH22" s="67">
        <f t="shared" si="22"/>
        <v>45180.613025823535</v>
      </c>
      <c r="CI22" s="31">
        <f t="shared" si="14"/>
        <v>0.11293818363695877</v>
      </c>
      <c r="CJ22" s="32">
        <f t="shared" si="15"/>
        <v>20055.287365283551</v>
      </c>
      <c r="CK22" s="32">
        <f t="shared" si="16"/>
        <v>177577.56251642515</v>
      </c>
      <c r="CL22" s="32">
        <f t="shared" si="23"/>
        <v>290217.3869898417</v>
      </c>
      <c r="CM22" s="32">
        <f t="shared" si="24"/>
        <v>6.4234937853535623</v>
      </c>
    </row>
    <row r="23" spans="1:91" x14ac:dyDescent="0.55000000000000004">
      <c r="A23" s="96" t="s">
        <v>20</v>
      </c>
      <c r="B23" s="67">
        <v>140287.309247</v>
      </c>
      <c r="C23" s="67">
        <v>136407.38231599997</v>
      </c>
      <c r="D23" s="101">
        <v>355</v>
      </c>
      <c r="E23" s="101">
        <v>4246</v>
      </c>
      <c r="F23" s="101">
        <v>1227</v>
      </c>
      <c r="G23" s="101">
        <v>4233</v>
      </c>
      <c r="H23" s="101">
        <v>177</v>
      </c>
      <c r="I23" s="101">
        <v>1021</v>
      </c>
      <c r="J23" s="101">
        <v>1732</v>
      </c>
      <c r="K23" s="101">
        <v>1364</v>
      </c>
      <c r="L23" s="101">
        <v>8504</v>
      </c>
      <c r="M23" s="101">
        <v>4151</v>
      </c>
      <c r="N23" s="101">
        <v>1152</v>
      </c>
      <c r="O23" s="101">
        <v>128</v>
      </c>
      <c r="P23" s="101">
        <v>419</v>
      </c>
      <c r="Q23" s="101">
        <v>1476</v>
      </c>
      <c r="R23" s="101">
        <v>0</v>
      </c>
      <c r="S23" s="101">
        <v>0</v>
      </c>
      <c r="T23" s="101">
        <v>14</v>
      </c>
      <c r="U23" s="101">
        <v>725</v>
      </c>
      <c r="V23" s="101">
        <v>682</v>
      </c>
      <c r="W23" s="66">
        <f t="shared" si="0"/>
        <v>31606</v>
      </c>
      <c r="X23" s="67">
        <f t="shared" si="5"/>
        <v>138347.34578149999</v>
      </c>
      <c r="Y23" s="31">
        <f t="shared" si="6"/>
        <v>228.45396723343862</v>
      </c>
      <c r="AA23" s="96" t="s">
        <v>20</v>
      </c>
      <c r="AB23" s="31">
        <f t="shared" si="7"/>
        <v>2.5660051372483297</v>
      </c>
      <c r="AC23" s="31">
        <f t="shared" si="7"/>
        <v>30.690867078187065</v>
      </c>
      <c r="AD23" s="31">
        <f t="shared" si="7"/>
        <v>8.8689811363484523</v>
      </c>
      <c r="AE23" s="31">
        <f t="shared" si="7"/>
        <v>30.59690069287938</v>
      </c>
      <c r="AF23" s="31">
        <f t="shared" si="25"/>
        <v>1.2793884768815615</v>
      </c>
      <c r="AG23" s="31">
        <f t="shared" si="25"/>
        <v>7.3799753383959006</v>
      </c>
      <c r="AH23" s="31">
        <f t="shared" si="25"/>
        <v>12.519213796377766</v>
      </c>
      <c r="AI23" s="31">
        <f t="shared" si="25"/>
        <v>9.8592422738217511</v>
      </c>
      <c r="AJ23" s="31">
        <f t="shared" si="25"/>
        <v>61.468472358196607</v>
      </c>
      <c r="AK23" s="31">
        <f t="shared" si="25"/>
        <v>30.004189647092442</v>
      </c>
      <c r="AL23" s="31">
        <f t="shared" si="25"/>
        <v>8.3268673749579598</v>
      </c>
      <c r="AM23" s="31">
        <f t="shared" si="25"/>
        <v>0.92520748610643999</v>
      </c>
      <c r="AN23" s="31">
        <f t="shared" si="25"/>
        <v>3.0286088803015496</v>
      </c>
      <c r="AO23" s="31">
        <f t="shared" si="25"/>
        <v>10.668798824164886</v>
      </c>
      <c r="AP23" s="34">
        <f t="shared" si="25"/>
        <v>0</v>
      </c>
      <c r="AQ23" s="34">
        <f t="shared" si="25"/>
        <v>0</v>
      </c>
      <c r="AR23" s="31">
        <f t="shared" si="25"/>
        <v>0.10119456879289188</v>
      </c>
      <c r="AS23" s="31">
        <f t="shared" si="25"/>
        <v>5.2404330267747579</v>
      </c>
      <c r="AT23" s="31">
        <f t="shared" si="25"/>
        <v>4.9296211369108756</v>
      </c>
      <c r="AU23" s="72"/>
      <c r="AV23" s="96" t="s">
        <v>20</v>
      </c>
      <c r="AW23" s="67">
        <v>138347.34578149999</v>
      </c>
      <c r="AX23" s="34">
        <v>31606</v>
      </c>
      <c r="AY23" s="31">
        <v>0.22845396723343861</v>
      </c>
      <c r="AZ23" s="33">
        <v>2.5</v>
      </c>
      <c r="BA23" s="31">
        <v>0.72703484787957307</v>
      </c>
      <c r="BB23" s="31">
        <v>0.27296515212042693</v>
      </c>
      <c r="BC23" s="32">
        <v>20039.945641851275</v>
      </c>
      <c r="BD23" s="32">
        <v>14569.738831238255</v>
      </c>
      <c r="BE23" s="32">
        <v>63775.381131160742</v>
      </c>
      <c r="BF23" s="32">
        <v>79566.773381032632</v>
      </c>
      <c r="BG23" s="32">
        <v>3.9704086429688696</v>
      </c>
      <c r="BI23" s="34">
        <v>17158</v>
      </c>
      <c r="BJ23" s="31">
        <f t="shared" si="8"/>
        <v>0.39468657596398515</v>
      </c>
      <c r="BK23" s="32">
        <f t="shared" si="9"/>
        <v>7909.4975278866659</v>
      </c>
      <c r="BL23" s="32">
        <f t="shared" si="17"/>
        <v>12922.140966883728</v>
      </c>
      <c r="BM23" s="32">
        <f t="shared" si="10"/>
        <v>22840.2411158451</v>
      </c>
      <c r="BN23" s="74"/>
      <c r="BO23" s="101">
        <v>4233</v>
      </c>
      <c r="BP23" s="77">
        <f t="shared" si="2"/>
        <v>9.7371970862311988E-2</v>
      </c>
      <c r="BQ23" s="78">
        <f t="shared" si="11"/>
        <v>1951.3290031206584</v>
      </c>
      <c r="BR23" s="102">
        <f t="shared" si="18"/>
        <v>2471.0426936619992</v>
      </c>
      <c r="BS23" s="78">
        <f t="shared" si="19"/>
        <v>25265.053220943235</v>
      </c>
      <c r="BV23" s="101">
        <v>4246</v>
      </c>
      <c r="BW23" s="31">
        <f t="shared" si="3"/>
        <v>9.7671010697230498E-2</v>
      </c>
      <c r="BX23" s="32">
        <f t="shared" si="4"/>
        <v>1957.3217451571736</v>
      </c>
      <c r="BY23" s="32">
        <f t="shared" si="20"/>
        <v>2630.6984289470743</v>
      </c>
      <c r="BZ23" s="32">
        <f t="shared" si="21"/>
        <v>12664.811042357924</v>
      </c>
      <c r="CA23" s="32"/>
      <c r="CB23" s="115"/>
      <c r="CC23" s="96" t="s">
        <v>20</v>
      </c>
      <c r="CD23" s="81">
        <v>31606</v>
      </c>
      <c r="CE23" s="64">
        <v>4246</v>
      </c>
      <c r="CF23" s="31">
        <f t="shared" si="12"/>
        <v>0.86565841928747711</v>
      </c>
      <c r="CG23" s="31">
        <f t="shared" si="13"/>
        <v>0.32498360797887388</v>
      </c>
      <c r="CH23" s="67">
        <f t="shared" si="22"/>
        <v>25125.325660539984</v>
      </c>
      <c r="CI23" s="31">
        <f t="shared" si="14"/>
        <v>0.19776310015525156</v>
      </c>
      <c r="CJ23" s="32">
        <f t="shared" si="15"/>
        <v>16960.006675733515</v>
      </c>
      <c r="CK23" s="32">
        <f t="shared" si="16"/>
        <v>85759.207164629115</v>
      </c>
      <c r="CL23" s="32">
        <f t="shared" si="23"/>
        <v>112639.82447341655</v>
      </c>
      <c r="CM23" s="32">
        <f t="shared" si="24"/>
        <v>4.4831189850136148</v>
      </c>
    </row>
    <row r="24" spans="1:91" x14ac:dyDescent="0.55000000000000004">
      <c r="A24" s="96" t="s">
        <v>21</v>
      </c>
      <c r="B24" s="67">
        <v>32702.945541000001</v>
      </c>
      <c r="C24" s="67">
        <v>31834.352107999999</v>
      </c>
      <c r="D24" s="101">
        <v>111</v>
      </c>
      <c r="E24" s="101">
        <v>1376</v>
      </c>
      <c r="F24" s="101">
        <v>521</v>
      </c>
      <c r="G24" s="101">
        <v>1062</v>
      </c>
      <c r="H24" s="101">
        <v>69</v>
      </c>
      <c r="I24" s="101">
        <v>338</v>
      </c>
      <c r="J24" s="101">
        <v>677</v>
      </c>
      <c r="K24" s="101">
        <v>348</v>
      </c>
      <c r="L24" s="101">
        <v>3179</v>
      </c>
      <c r="M24" s="101">
        <v>1613</v>
      </c>
      <c r="N24" s="101">
        <v>390</v>
      </c>
      <c r="O24" s="101">
        <v>52</v>
      </c>
      <c r="P24" s="101">
        <v>176</v>
      </c>
      <c r="Q24" s="101">
        <v>604</v>
      </c>
      <c r="R24" s="101">
        <v>0</v>
      </c>
      <c r="S24" s="101">
        <v>0</v>
      </c>
      <c r="T24" s="101">
        <v>6</v>
      </c>
      <c r="U24" s="101">
        <v>372</v>
      </c>
      <c r="V24" s="101">
        <v>284</v>
      </c>
      <c r="W24" s="66">
        <f t="shared" si="0"/>
        <v>11178</v>
      </c>
      <c r="X24" s="67">
        <f t="shared" si="5"/>
        <v>32268.6488245</v>
      </c>
      <c r="Y24" s="31">
        <f t="shared" si="6"/>
        <v>346.4043400389636</v>
      </c>
      <c r="AA24" s="96" t="s">
        <v>21</v>
      </c>
      <c r="AB24" s="31">
        <f t="shared" si="7"/>
        <v>3.4398713315731757</v>
      </c>
      <c r="AC24" s="31">
        <f t="shared" si="7"/>
        <v>42.642008578780988</v>
      </c>
      <c r="AD24" s="31">
        <f t="shared" si="7"/>
        <v>16.145702376122742</v>
      </c>
      <c r="AE24" s="31">
        <f t="shared" si="7"/>
        <v>32.911201388564976</v>
      </c>
      <c r="AF24" s="31">
        <f t="shared" si="25"/>
        <v>2.1382983953022441</v>
      </c>
      <c r="AG24" s="31">
        <f t="shared" si="25"/>
        <v>10.4745631537994</v>
      </c>
      <c r="AH24" s="31">
        <f t="shared" si="25"/>
        <v>20.980116139414772</v>
      </c>
      <c r="AI24" s="31">
        <f t="shared" si="25"/>
        <v>10.784461471959144</v>
      </c>
      <c r="AJ24" s="31">
        <f t="shared" si="25"/>
        <v>98.516675342983106</v>
      </c>
      <c r="AK24" s="31">
        <f t="shared" si="25"/>
        <v>49.986598719166956</v>
      </c>
      <c r="AL24" s="31">
        <f t="shared" si="25"/>
        <v>12.086034408230077</v>
      </c>
      <c r="AM24" s="31">
        <f t="shared" si="25"/>
        <v>1.6114712544306768</v>
      </c>
      <c r="AN24" s="31">
        <f t="shared" si="25"/>
        <v>5.4542103996115214</v>
      </c>
      <c r="AO24" s="31">
        <f t="shared" si="25"/>
        <v>18.717858416848632</v>
      </c>
      <c r="AP24" s="34">
        <f t="shared" si="25"/>
        <v>0</v>
      </c>
      <c r="AQ24" s="34">
        <f t="shared" si="25"/>
        <v>0</v>
      </c>
      <c r="AR24" s="31">
        <f t="shared" si="25"/>
        <v>0.18593899089584731</v>
      </c>
      <c r="AS24" s="31">
        <f t="shared" si="25"/>
        <v>11.528217435542533</v>
      </c>
      <c r="AT24" s="31">
        <f t="shared" si="25"/>
        <v>8.8011122357367739</v>
      </c>
      <c r="AU24" s="72"/>
      <c r="AV24" s="96" t="s">
        <v>21</v>
      </c>
      <c r="AW24" s="67">
        <v>32268.6488245</v>
      </c>
      <c r="AX24" s="34">
        <v>11178</v>
      </c>
      <c r="AY24" s="31">
        <v>0.34640434003896359</v>
      </c>
      <c r="AZ24" s="33">
        <v>2.5</v>
      </c>
      <c r="BA24" s="31">
        <v>1</v>
      </c>
      <c r="BB24" s="31">
        <v>0</v>
      </c>
      <c r="BC24" s="32">
        <v>5470.20681061302</v>
      </c>
      <c r="BD24" s="32">
        <v>5470.20681061302</v>
      </c>
      <c r="BE24" s="32">
        <v>15791.392249871149</v>
      </c>
      <c r="BF24" s="32">
        <v>15791.392249871889</v>
      </c>
      <c r="BG24" s="32">
        <v>2.886799859053633</v>
      </c>
      <c r="BI24" s="34">
        <v>10243</v>
      </c>
      <c r="BJ24" s="31">
        <f t="shared" si="8"/>
        <v>0.91635355161925214</v>
      </c>
      <c r="BK24" s="32">
        <f t="shared" si="9"/>
        <v>5012.6434389970627</v>
      </c>
      <c r="BL24" s="32">
        <f t="shared" si="17"/>
        <v>5012.6434389970618</v>
      </c>
      <c r="BM24" s="32">
        <f t="shared" si="10"/>
        <v>27852.884554842163</v>
      </c>
      <c r="BN24" s="74"/>
      <c r="BO24" s="101">
        <v>1062</v>
      </c>
      <c r="BP24" s="77">
        <f t="shared" si="2"/>
        <v>9.5008051529790666E-2</v>
      </c>
      <c r="BQ24" s="78">
        <f t="shared" si="11"/>
        <v>519.71369054133368</v>
      </c>
      <c r="BR24" s="102">
        <f t="shared" si="18"/>
        <v>519.71369054134084</v>
      </c>
      <c r="BS24" s="78">
        <f>BS23+BQ24</f>
        <v>25784.76691148457</v>
      </c>
      <c r="BV24" s="101">
        <v>1376</v>
      </c>
      <c r="BW24" s="31">
        <f t="shared" si="3"/>
        <v>0.123098944354983</v>
      </c>
      <c r="BX24" s="32">
        <f t="shared" si="4"/>
        <v>673.37668378990122</v>
      </c>
      <c r="BY24" s="32">
        <f t="shared" si="20"/>
        <v>673.37668378990065</v>
      </c>
      <c r="BZ24" s="32">
        <f t="shared" si="21"/>
        <v>13338.187726147826</v>
      </c>
      <c r="CA24" s="32"/>
      <c r="CB24" s="115"/>
      <c r="CC24" s="96" t="s">
        <v>21</v>
      </c>
      <c r="CD24" s="81">
        <v>11178</v>
      </c>
      <c r="CE24" s="64">
        <v>1376</v>
      </c>
      <c r="CF24" s="31">
        <f t="shared" si="12"/>
        <v>0.87690105564501697</v>
      </c>
      <c r="CG24" s="34">
        <f t="shared" si="13"/>
        <v>0</v>
      </c>
      <c r="CH24" s="67">
        <f t="shared" si="22"/>
        <v>8165.3189848064667</v>
      </c>
      <c r="CI24" s="31">
        <f t="shared" si="14"/>
        <v>0.30376233146018261</v>
      </c>
      <c r="CJ24" s="32">
        <f t="shared" si="15"/>
        <v>8165.3189848064667</v>
      </c>
      <c r="CK24" s="32">
        <f t="shared" si="16"/>
        <v>26880.617308788278</v>
      </c>
      <c r="CL24" s="32">
        <f t="shared" si="23"/>
        <v>26880.617308787434</v>
      </c>
      <c r="CM24" s="32">
        <f t="shared" si="24"/>
        <v>3.2920474213934896</v>
      </c>
    </row>
    <row r="25" spans="1:91" x14ac:dyDescent="0.55000000000000004">
      <c r="A25" s="96" t="s">
        <v>46</v>
      </c>
      <c r="B25" s="67">
        <v>23227282.341449004</v>
      </c>
      <c r="C25" s="67">
        <v>23199313.329048</v>
      </c>
      <c r="D25" s="101">
        <v>2920</v>
      </c>
      <c r="E25" s="101">
        <v>32498</v>
      </c>
      <c r="F25" s="101">
        <v>6419</v>
      </c>
      <c r="G25" s="101">
        <v>67247</v>
      </c>
      <c r="H25" s="101">
        <v>875</v>
      </c>
      <c r="I25" s="101">
        <v>6735</v>
      </c>
      <c r="J25" s="101">
        <v>7150</v>
      </c>
      <c r="K25" s="101">
        <v>10588</v>
      </c>
      <c r="L25" s="101">
        <v>55946</v>
      </c>
      <c r="M25" s="101">
        <v>23835</v>
      </c>
      <c r="N25" s="101">
        <v>11138</v>
      </c>
      <c r="O25" s="101">
        <v>647</v>
      </c>
      <c r="P25" s="101">
        <v>1729</v>
      </c>
      <c r="Q25" s="101">
        <v>6763</v>
      </c>
      <c r="R25" s="101">
        <v>0</v>
      </c>
      <c r="S25" s="101">
        <v>286</v>
      </c>
      <c r="T25" s="101">
        <v>433</v>
      </c>
      <c r="U25" s="101">
        <v>4198</v>
      </c>
      <c r="V25" s="101">
        <v>10257</v>
      </c>
      <c r="W25" s="66">
        <f t="shared" si="0"/>
        <v>249664</v>
      </c>
      <c r="X25" s="67">
        <f t="shared" si="5"/>
        <v>23213297.8352485</v>
      </c>
      <c r="Y25" s="31">
        <f t="shared" si="6"/>
        <v>10.755214608968434</v>
      </c>
      <c r="AA25" s="96" t="s">
        <v>46</v>
      </c>
      <c r="AB25" s="31">
        <f t="shared" si="7"/>
        <v>0.125789968350214</v>
      </c>
      <c r="AC25" s="80">
        <f t="shared" si="7"/>
        <v>1.399973421727827</v>
      </c>
      <c r="AD25" s="31">
        <f t="shared" si="7"/>
        <v>0.27652253658904918</v>
      </c>
      <c r="AE25" s="80">
        <f t="shared" si="7"/>
        <v>2.896917123851658</v>
      </c>
      <c r="AF25" s="31">
        <f t="shared" si="25"/>
        <v>3.7693911748779882E-2</v>
      </c>
      <c r="AG25" s="31">
        <f t="shared" si="25"/>
        <v>0.2901354235748943</v>
      </c>
      <c r="AH25" s="31">
        <f t="shared" si="25"/>
        <v>0.30801310743288701</v>
      </c>
      <c r="AI25" s="31">
        <f t="shared" si="25"/>
        <v>0.45611787153837874</v>
      </c>
      <c r="AJ25" s="80">
        <f t="shared" si="25"/>
        <v>2.4100840990825589</v>
      </c>
      <c r="AK25" s="31">
        <f t="shared" si="25"/>
        <v>1.026782156036764</v>
      </c>
      <c r="AL25" s="31">
        <f t="shared" si="25"/>
        <v>0.47981118749475465</v>
      </c>
      <c r="AM25" s="31">
        <f t="shared" si="25"/>
        <v>2.787195531595495E-2</v>
      </c>
      <c r="AN25" s="31">
        <f t="shared" si="25"/>
        <v>7.448316961558904E-2</v>
      </c>
      <c r="AO25" s="31">
        <f t="shared" si="25"/>
        <v>0.29134162875085523</v>
      </c>
      <c r="AP25" s="34">
        <f t="shared" si="25"/>
        <v>0</v>
      </c>
      <c r="AQ25" s="31">
        <f t="shared" si="25"/>
        <v>1.2320524297315481E-2</v>
      </c>
      <c r="AR25" s="31">
        <f t="shared" si="25"/>
        <v>1.86531014711105E-2</v>
      </c>
      <c r="AS25" s="31">
        <f t="shared" si="25"/>
        <v>0.1808446188815748</v>
      </c>
      <c r="AT25" s="31">
        <f t="shared" si="25"/>
        <v>0.44185880320826881</v>
      </c>
      <c r="AU25" s="72"/>
      <c r="AV25" s="96" t="s">
        <v>46</v>
      </c>
      <c r="AW25" s="67">
        <v>23213297.8352485</v>
      </c>
      <c r="AX25" s="34">
        <v>249664</v>
      </c>
      <c r="AY25" s="72"/>
      <c r="AZ25" s="72"/>
      <c r="BA25" s="72"/>
      <c r="BB25" s="72"/>
      <c r="BC25" s="72"/>
      <c r="BD25" s="72"/>
      <c r="BE25" s="72"/>
      <c r="BF25" s="72"/>
      <c r="BG25" s="72"/>
      <c r="BI25" s="34">
        <v>63907</v>
      </c>
      <c r="BJ25" s="72"/>
      <c r="BK25" s="71"/>
      <c r="BL25" s="71"/>
      <c r="BN25" s="74"/>
      <c r="BO25" s="101">
        <v>67247</v>
      </c>
      <c r="BP25" s="74"/>
      <c r="BQ25" s="3"/>
      <c r="BV25" s="101">
        <v>32498</v>
      </c>
      <c r="CC25" s="96" t="s">
        <v>46</v>
      </c>
      <c r="CD25" s="81">
        <v>249664</v>
      </c>
      <c r="CE25" s="64">
        <v>32498</v>
      </c>
    </row>
    <row r="26" spans="1:91" x14ac:dyDescent="0.55000000000000004">
      <c r="AX26" s="71"/>
    </row>
    <row r="27" spans="1:91" x14ac:dyDescent="0.55000000000000004">
      <c r="AA27" s="96" t="s">
        <v>116</v>
      </c>
      <c r="AB27" s="31">
        <f>D25/$W$25*1000</f>
        <v>11.695719046398359</v>
      </c>
      <c r="AC27" s="80">
        <f t="shared" ref="AC27:AT27" si="26">E25/$W$25*1000</f>
        <v>130.16694437323764</v>
      </c>
      <c r="AD27" s="31">
        <f t="shared" si="26"/>
        <v>25.710554985901052</v>
      </c>
      <c r="AE27" s="80">
        <f t="shared" si="26"/>
        <v>269.35000640861318</v>
      </c>
      <c r="AF27" s="31">
        <f t="shared" si="26"/>
        <v>3.5047103306844396</v>
      </c>
      <c r="AG27" s="31">
        <f t="shared" si="26"/>
        <v>26.976256088182517</v>
      </c>
      <c r="AH27" s="31">
        <f t="shared" si="26"/>
        <v>28.638490130735711</v>
      </c>
      <c r="AI27" s="31">
        <f t="shared" si="26"/>
        <v>42.408997692899256</v>
      </c>
      <c r="AJ27" s="80">
        <f t="shared" si="26"/>
        <v>224.08517046911047</v>
      </c>
      <c r="AK27" s="31">
        <f t="shared" si="26"/>
        <v>95.468309407844146</v>
      </c>
      <c r="AL27" s="31">
        <f t="shared" si="26"/>
        <v>44.611958472186615</v>
      </c>
      <c r="AM27" s="31">
        <f t="shared" si="26"/>
        <v>2.5914829530889514</v>
      </c>
      <c r="AN27" s="31">
        <f t="shared" si="26"/>
        <v>6.9253076134324534</v>
      </c>
      <c r="AO27" s="31">
        <f t="shared" si="26"/>
        <v>27.088406818764419</v>
      </c>
      <c r="AP27" s="31">
        <f t="shared" si="26"/>
        <v>0</v>
      </c>
      <c r="AQ27" s="31">
        <f t="shared" si="26"/>
        <v>1.1455396052294282</v>
      </c>
      <c r="AR27" s="31">
        <f t="shared" si="26"/>
        <v>1.7343309407844143</v>
      </c>
      <c r="AS27" s="31">
        <f t="shared" si="26"/>
        <v>16.814598820815178</v>
      </c>
      <c r="AT27" s="31">
        <f t="shared" si="26"/>
        <v>41.083215842091768</v>
      </c>
      <c r="CD27" t="s">
        <v>92</v>
      </c>
    </row>
    <row r="28" spans="1:91" x14ac:dyDescent="0.55000000000000004">
      <c r="BQ28" t="s">
        <v>117</v>
      </c>
      <c r="BR28" s="103">
        <f>BR4/100000</f>
        <v>0.25784766911484569</v>
      </c>
      <c r="CD28" t="s">
        <v>93</v>
      </c>
    </row>
  </sheetData>
  <mergeCells count="9">
    <mergeCell ref="A1:D1"/>
    <mergeCell ref="D2:V2"/>
    <mergeCell ref="AB2:AT2"/>
    <mergeCell ref="AV2:BG2"/>
    <mergeCell ref="CC2:CM2"/>
    <mergeCell ref="BI1:BZ1"/>
    <mergeCell ref="BI2:BM2"/>
    <mergeCell ref="BO2:BS2"/>
    <mergeCell ref="BV2:BZ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91132-8400-4311-BBFD-AAF5A9E7B37B}">
  <dimension ref="C3:F21"/>
  <sheetViews>
    <sheetView tabSelected="1" workbookViewId="0">
      <selection activeCell="D7" sqref="D7"/>
    </sheetView>
  </sheetViews>
  <sheetFormatPr defaultRowHeight="14.4" x14ac:dyDescent="0.55000000000000004"/>
  <cols>
    <col min="3" max="3" width="46.41796875" bestFit="1" customWidth="1"/>
    <col min="4" max="4" width="15.68359375" bestFit="1" customWidth="1"/>
    <col min="5" max="5" width="19.26171875" bestFit="1" customWidth="1"/>
  </cols>
  <sheetData>
    <row r="3" spans="3:6" x14ac:dyDescent="0.55000000000000004">
      <c r="C3" t="s">
        <v>123</v>
      </c>
    </row>
    <row r="5" spans="3:6" ht="18.3" x14ac:dyDescent="0.7">
      <c r="C5" s="126" t="s">
        <v>130</v>
      </c>
      <c r="D5" s="121" t="s">
        <v>125</v>
      </c>
      <c r="E5" s="127" t="s">
        <v>126</v>
      </c>
      <c r="F5" s="120"/>
    </row>
    <row r="6" spans="3:6" ht="18.3" x14ac:dyDescent="0.7">
      <c r="C6" s="122" t="s">
        <v>127</v>
      </c>
      <c r="D6" s="128">
        <f>'cause pop. femminile'!BN4</f>
        <v>0.26715906948838336</v>
      </c>
      <c r="E6" s="128">
        <f>'cause pop. maschile '!BN4</f>
        <v>0.27852884554842161</v>
      </c>
      <c r="F6" s="120"/>
    </row>
    <row r="7" spans="3:6" ht="18.3" x14ac:dyDescent="0.7">
      <c r="C7" s="124" t="s">
        <v>128</v>
      </c>
      <c r="D7" s="128">
        <f>'cause pop. femminile'!BT4</f>
        <v>0.17245416947130074</v>
      </c>
      <c r="E7" s="128">
        <f>'cause pop. maschile '!BT4</f>
        <v>0.25784766911484569</v>
      </c>
      <c r="F7" s="120"/>
    </row>
    <row r="8" spans="3:6" ht="18.3" x14ac:dyDescent="0.7">
      <c r="C8" s="125" t="s">
        <v>129</v>
      </c>
      <c r="D8" s="128">
        <f>'cause pop. femminile'!BZ4</f>
        <v>0.1153269766778911</v>
      </c>
      <c r="E8" s="128">
        <f>'cause pop. maschile '!CA4</f>
        <v>0.13338187726147827</v>
      </c>
      <c r="F8" s="120"/>
    </row>
    <row r="10" spans="3:6" ht="18.3" x14ac:dyDescent="0.7">
      <c r="C10" s="125" t="s">
        <v>131</v>
      </c>
      <c r="D10" s="123">
        <f>'cause pop. femminile'!CM4</f>
        <v>0.97209067211845479</v>
      </c>
      <c r="E10" s="123">
        <f>'cause pop. maschile '!CN4</f>
        <v>1.2617617502355358</v>
      </c>
    </row>
    <row r="11" spans="3:6" ht="18.3" x14ac:dyDescent="0.7">
      <c r="C11" s="125" t="s">
        <v>132</v>
      </c>
      <c r="D11" s="129">
        <f>'cause pop. femminile'!CN4</f>
        <v>1.144337992190203E-2</v>
      </c>
      <c r="E11" s="129">
        <f>'cause pop. maschile '!CO4</f>
        <v>1.5878326100490614E-2</v>
      </c>
    </row>
    <row r="14" spans="3:6" ht="18.3" x14ac:dyDescent="0.7">
      <c r="C14" s="130" t="s">
        <v>141</v>
      </c>
      <c r="D14" s="171" t="s">
        <v>134</v>
      </c>
      <c r="E14" s="171"/>
    </row>
    <row r="15" spans="3:6" ht="18.3" x14ac:dyDescent="0.7">
      <c r="C15" s="131" t="s">
        <v>139</v>
      </c>
      <c r="D15" s="132" t="s">
        <v>135</v>
      </c>
      <c r="E15" s="132" t="s">
        <v>138</v>
      </c>
    </row>
    <row r="16" spans="3:6" ht="18.3" x14ac:dyDescent="0.7">
      <c r="C16" s="131" t="s">
        <v>133</v>
      </c>
      <c r="D16" s="128">
        <v>3.0013904008887198</v>
      </c>
      <c r="E16" s="133">
        <f>D16/D$21</f>
        <v>0.54735365615997067</v>
      </c>
    </row>
    <row r="17" spans="3:5" ht="18.3" x14ac:dyDescent="0.7">
      <c r="C17" s="131" t="s">
        <v>136</v>
      </c>
      <c r="D17" s="128">
        <v>3.6028315074896211</v>
      </c>
      <c r="E17" s="133">
        <f>D17/D$21</f>
        <v>0.65703648468018738</v>
      </c>
    </row>
    <row r="18" spans="3:5" ht="18.3" x14ac:dyDescent="0.7">
      <c r="C18" s="131" t="s">
        <v>142</v>
      </c>
      <c r="D18" s="140"/>
      <c r="E18" s="138">
        <f>arriaga!R17</f>
        <v>0.62866216354188675</v>
      </c>
    </row>
    <row r="19" spans="3:5" ht="18.3" x14ac:dyDescent="0.7">
      <c r="C19" s="139" t="s">
        <v>143</v>
      </c>
      <c r="D19" s="21"/>
      <c r="E19" s="138">
        <f>arriaga!R16</f>
        <v>0.74190397003259712</v>
      </c>
    </row>
    <row r="21" spans="3:5" ht="18.3" x14ac:dyDescent="0.7">
      <c r="C21" s="131" t="s">
        <v>137</v>
      </c>
      <c r="D21" s="134">
        <f>arriaga!P24</f>
        <v>5.483457298788057</v>
      </c>
      <c r="E21" s="133">
        <f>D21/D$21</f>
        <v>1</v>
      </c>
    </row>
  </sheetData>
  <mergeCells count="1">
    <mergeCell ref="D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cause morte</vt:lpstr>
      <vt:lpstr>popolazione</vt:lpstr>
      <vt:lpstr>tavole mortalità</vt:lpstr>
      <vt:lpstr>arriaga</vt:lpstr>
      <vt:lpstr>cause pop. femminile</vt:lpstr>
      <vt:lpstr>cause pop. maschile </vt:lpstr>
      <vt:lpstr>TABELLA RIASSUNTIVA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marialetizia</cp:lastModifiedBy>
  <dcterms:created xsi:type="dcterms:W3CDTF">2022-12-19T12:16:15Z</dcterms:created>
  <dcterms:modified xsi:type="dcterms:W3CDTF">2025-11-20T08:37:12Z</dcterms:modified>
</cp:coreProperties>
</file>