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camic48529\Documents\didattica\Imp_ter_fri\2021-2022\"/>
    </mc:Choice>
  </mc:AlternateContent>
  <xr:revisionPtr revIDLastSave="0" documentId="13_ncr:1_{369E84CD-A2D6-43D8-BEF2-CB5E6A2D4711}" xr6:coauthVersionLast="36" xr6:coauthVersionMax="36" xr10:uidLastSave="{00000000-0000-0000-0000-000000000000}"/>
  <bookViews>
    <workbookView showHorizontalScroll="0" showVerticalScroll="0" showSheetTabs="0" xWindow="0" yWindow="0" windowWidth="19200" windowHeight="7020" xr2:uid="{00000000-000D-0000-FFFF-FFFF00000000}"/>
  </bookViews>
  <sheets>
    <sheet name="Dati Generali" sheetId="2" r:id="rId1"/>
    <sheet name="Grafico" sheetId="9" r:id="rId2"/>
    <sheet name="a_T" sheetId="3" r:id="rId3"/>
    <sheet name="a_u" sheetId="1" r:id="rId4"/>
    <sheet name="a_D" sheetId="4" r:id="rId5"/>
    <sheet name="B_G" sheetId="5" r:id="rId6"/>
    <sheet name="n_G" sheetId="8" r:id="rId7"/>
    <sheet name="Foglio1" sheetId="7" r:id="rId8"/>
  </sheets>
  <calcPr calcId="191029"/>
</workbook>
</file>

<file path=xl/calcChain.xml><?xml version="1.0" encoding="utf-8"?>
<calcChain xmlns="http://schemas.openxmlformats.org/spreadsheetml/2006/main">
  <c r="F93" i="2" l="1"/>
  <c r="F92" i="2"/>
  <c r="F130" i="2"/>
  <c r="F129" i="2"/>
  <c r="D131" i="2"/>
  <c r="D93" i="2"/>
  <c r="D95" i="2"/>
  <c r="F94" i="2"/>
  <c r="D29" i="2" l="1"/>
  <c r="H42" i="2" l="1"/>
  <c r="D143" i="2" l="1"/>
  <c r="D140" i="2"/>
  <c r="D141" i="2" s="1"/>
  <c r="D125" i="2"/>
  <c r="D122" i="2"/>
  <c r="D123" i="2" s="1"/>
  <c r="D17" i="2"/>
  <c r="D142" i="2" l="1"/>
  <c r="D124" i="2"/>
  <c r="D43" i="2"/>
  <c r="D82" i="2" l="1"/>
  <c r="F143" i="2"/>
  <c r="D107" i="2"/>
  <c r="F107" i="2" s="1"/>
  <c r="D89" i="2"/>
  <c r="F89" i="2" s="1"/>
  <c r="D45" i="2"/>
  <c r="D47" i="2"/>
  <c r="D41" i="2"/>
  <c r="D12" i="2"/>
  <c r="F125" i="2"/>
  <c r="D104" i="2"/>
  <c r="D106" i="2" s="1"/>
  <c r="D86" i="2"/>
  <c r="D88" i="2" s="1"/>
  <c r="D136" i="2" l="1"/>
  <c r="D118" i="2"/>
  <c r="D100" i="2"/>
  <c r="D87" i="2"/>
  <c r="D105" i="2"/>
  <c r="D71" i="2"/>
  <c r="D72" i="2"/>
  <c r="D65" i="2"/>
  <c r="D55" i="2"/>
  <c r="D56" i="2" s="1"/>
  <c r="S12" i="8" l="1"/>
  <c r="S11" i="8"/>
  <c r="S10" i="8"/>
  <c r="S9" i="8"/>
  <c r="S8" i="8"/>
  <c r="C4" i="8"/>
  <c r="C3" i="8"/>
  <c r="C2" i="8"/>
  <c r="R11" i="8" s="1"/>
  <c r="S9" i="5"/>
  <c r="S10" i="5"/>
  <c r="S11" i="5"/>
  <c r="S8" i="5"/>
  <c r="C5" i="8" l="1"/>
  <c r="R8" i="8"/>
  <c r="R10" i="8"/>
  <c r="S13" i="8"/>
  <c r="S14" i="8" s="1"/>
  <c r="R9" i="8"/>
  <c r="BD9" i="2"/>
  <c r="AY7" i="2"/>
  <c r="AX7" i="2"/>
  <c r="C3" i="3"/>
  <c r="C4" i="3" s="1"/>
  <c r="D44" i="2" s="1"/>
  <c r="R14" i="8" l="1"/>
  <c r="C6" i="8" s="1"/>
  <c r="D64" i="2" s="1"/>
  <c r="BA8" i="2"/>
  <c r="D49" i="2"/>
  <c r="C4" i="5"/>
  <c r="C3" i="5"/>
  <c r="C3" i="4"/>
  <c r="C3" i="1"/>
  <c r="C2" i="5"/>
  <c r="R10" i="5" s="1"/>
  <c r="C2" i="4"/>
  <c r="N7" i="4" s="1"/>
  <c r="C2" i="1"/>
  <c r="N4" i="1" s="1"/>
  <c r="BD8" i="2" l="1"/>
  <c r="S13" i="5"/>
  <c r="S14" i="5" s="1"/>
  <c r="C5" i="5"/>
  <c r="R11" i="5"/>
  <c r="R8" i="5"/>
  <c r="R9" i="5"/>
  <c r="N6" i="4"/>
  <c r="N5" i="4"/>
  <c r="N4" i="4"/>
  <c r="N7" i="1"/>
  <c r="N6" i="1"/>
  <c r="N5" i="1"/>
  <c r="R14" i="5" l="1"/>
  <c r="C6" i="5" s="1"/>
  <c r="D63" i="2" s="1"/>
  <c r="BA9" i="2"/>
  <c r="C4" i="1"/>
  <c r="D46" i="2" s="1"/>
  <c r="C4" i="4"/>
  <c r="D48" i="2" s="1"/>
  <c r="D42" i="2" l="1"/>
  <c r="AV31" i="2"/>
  <c r="AV35" i="2"/>
  <c r="AV13" i="2"/>
  <c r="AV17" i="2"/>
  <c r="AV21" i="2"/>
  <c r="AV25" i="2"/>
  <c r="AV29" i="2"/>
  <c r="AV32" i="2"/>
  <c r="AV36" i="2"/>
  <c r="AV14" i="2"/>
  <c r="AV18" i="2"/>
  <c r="AV22" i="2"/>
  <c r="AV26" i="2"/>
  <c r="AV30" i="2"/>
  <c r="AV33" i="2"/>
  <c r="AV37" i="2"/>
  <c r="AV15" i="2"/>
  <c r="AV19" i="2"/>
  <c r="AV23" i="2"/>
  <c r="AV27" i="2"/>
  <c r="AV34" i="2"/>
  <c r="AV38" i="2"/>
  <c r="AV16" i="2"/>
  <c r="AV20" i="2"/>
  <c r="AV24" i="2"/>
  <c r="AV28" i="2"/>
  <c r="D66" i="2" l="1"/>
  <c r="D67" i="2" s="1"/>
  <c r="BI8" i="2" s="1"/>
  <c r="BI9" i="2" s="1"/>
  <c r="BI12" i="2" s="1"/>
  <c r="D51" i="2"/>
  <c r="D57" i="2" s="1"/>
  <c r="BH9" i="2" l="1"/>
  <c r="BH12" i="2" s="1"/>
  <c r="BH11" i="2" s="1"/>
  <c r="BB9" i="2"/>
  <c r="BE8" i="2" s="1"/>
  <c r="BE9" i="2" s="1"/>
  <c r="AY9" i="2"/>
  <c r="D73" i="2" l="1"/>
  <c r="D76" i="2" s="1"/>
  <c r="O83" i="2" l="1"/>
  <c r="D83" i="2"/>
  <c r="D85" i="2" s="1"/>
  <c r="D137" i="2" l="1"/>
  <c r="D119" i="2"/>
  <c r="D84" i="2"/>
  <c r="D92" i="2" s="1"/>
  <c r="D96" i="2" s="1"/>
  <c r="D101" i="2"/>
  <c r="D102" i="2" s="1"/>
  <c r="D90" i="2"/>
  <c r="D91" i="2" s="1"/>
  <c r="D121" i="2" l="1"/>
  <c r="D126" i="2" s="1"/>
  <c r="D127" i="2" s="1"/>
  <c r="D120" i="2"/>
  <c r="D128" i="2" s="1"/>
  <c r="F128" i="2" s="1"/>
  <c r="D129" i="2" s="1"/>
  <c r="D139" i="2"/>
  <c r="D144" i="2" s="1"/>
  <c r="D145" i="2" s="1"/>
  <c r="D138" i="2"/>
  <c r="D146" i="2" s="1"/>
  <c r="F146" i="2" s="1"/>
  <c r="D103" i="2"/>
  <c r="D108" i="2" s="1"/>
  <c r="D109" i="2" s="1"/>
  <c r="D110" i="2"/>
  <c r="F110" i="2" s="1"/>
  <c r="D111" i="2" s="1"/>
  <c r="F111" i="2" s="1"/>
  <c r="F112" i="2" s="1"/>
  <c r="D113" i="2" s="1"/>
  <c r="D114" i="2" s="1"/>
  <c r="D147" i="2" l="1"/>
  <c r="F147" i="2" s="1"/>
  <c r="D132" i="2"/>
  <c r="F148" i="2" l="1"/>
  <c r="D149" i="2" s="1"/>
  <c r="D1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DFT</author>
  </authors>
  <commentList>
    <comment ref="D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Emmi G: utilizzare valori non superiori a 3-4 °C</t>
        </r>
      </text>
    </comment>
  </commentList>
</comments>
</file>

<file path=xl/sharedStrings.xml><?xml version="1.0" encoding="utf-8"?>
<sst xmlns="http://schemas.openxmlformats.org/spreadsheetml/2006/main" count="578" uniqueCount="284">
  <si>
    <t>T</t>
  </si>
  <si>
    <t>B</t>
  </si>
  <si>
    <t>a_u</t>
  </si>
  <si>
    <t>R_λ.B</t>
  </si>
  <si>
    <t>Passo</t>
  </si>
  <si>
    <t>ao</t>
  </si>
  <si>
    <t>a1</t>
  </si>
  <si>
    <t>a2</t>
  </si>
  <si>
    <t>a3</t>
  </si>
  <si>
    <t>(m^2K)/W</t>
  </si>
  <si>
    <t>R_λ.B [m^2K/W]</t>
  </si>
  <si>
    <t>T [m]</t>
  </si>
  <si>
    <t>a_u [-]</t>
  </si>
  <si>
    <t>m</t>
  </si>
  <si>
    <t>[m]</t>
  </si>
  <si>
    <t>[m^2K/W]</t>
  </si>
  <si>
    <t>[-]</t>
  </si>
  <si>
    <t>a_D</t>
  </si>
  <si>
    <t>a_D [-]</t>
  </si>
  <si>
    <t>B_G</t>
  </si>
  <si>
    <t>λ_E</t>
  </si>
  <si>
    <t>s_u</t>
  </si>
  <si>
    <t>[W/(mK)]</t>
  </si>
  <si>
    <t>s_u/λ_E</t>
  </si>
  <si>
    <t>a0</t>
  </si>
  <si>
    <t>B_G [-]</t>
  </si>
  <si>
    <t>s_u/λ_E [m^2K/W]</t>
  </si>
  <si>
    <t>Spessore Tubi</t>
  </si>
  <si>
    <t>λ_R</t>
  </si>
  <si>
    <t>s_R</t>
  </si>
  <si>
    <t>Conduttività Massetto</t>
  </si>
  <si>
    <t>Diametro Esterno Tubi</t>
  </si>
  <si>
    <t>a_B</t>
  </si>
  <si>
    <t>a_T</t>
  </si>
  <si>
    <t>m_T</t>
  </si>
  <si>
    <t>m_u</t>
  </si>
  <si>
    <t>m_D</t>
  </si>
  <si>
    <t>R_λ,B</t>
  </si>
  <si>
    <t>K_H</t>
  </si>
  <si>
    <t>Δθ_H</t>
  </si>
  <si>
    <t>°C</t>
  </si>
  <si>
    <t>θ_i</t>
  </si>
  <si>
    <t>θ_R</t>
  </si>
  <si>
    <t>θ_V</t>
  </si>
  <si>
    <t>Δθ_VR</t>
  </si>
  <si>
    <t>q</t>
  </si>
  <si>
    <t>q_G</t>
  </si>
  <si>
    <r>
      <t>R_</t>
    </r>
    <r>
      <rPr>
        <sz val="11"/>
        <color theme="1"/>
        <rFont val="Calibri"/>
        <family val="2"/>
      </rPr>
      <t>λ,B</t>
    </r>
  </si>
  <si>
    <t>S_u/T</t>
  </si>
  <si>
    <t>a4</t>
  </si>
  <si>
    <t>n_G</t>
  </si>
  <si>
    <t>ф</t>
  </si>
  <si>
    <t>θ_F,max</t>
  </si>
  <si>
    <t>Δθ_H,G</t>
  </si>
  <si>
    <t>0.008 &lt;= D &lt;= 0.03</t>
  </si>
  <si>
    <t>Spessore Massetto Sopra tubi</t>
  </si>
  <si>
    <t>s_u/T</t>
  </si>
  <si>
    <r>
      <t>Per S_u/</t>
    </r>
    <r>
      <rPr>
        <sz val="11"/>
        <color theme="1"/>
        <rFont val="Calibri"/>
        <family val="2"/>
      </rPr>
      <t>λ_E &gt; 0.0792</t>
    </r>
  </si>
  <si>
    <r>
      <t>s_u/</t>
    </r>
    <r>
      <rPr>
        <sz val="11"/>
        <color theme="1"/>
        <rFont val="Calibri"/>
        <family val="2"/>
      </rPr>
      <t>λ_E</t>
    </r>
  </si>
  <si>
    <t>Per S_u/λ_E &gt; 0.0792</t>
  </si>
  <si>
    <t>Per S_u/λ_E &lt;=  0.0792</t>
  </si>
  <si>
    <t>n_G [-]</t>
  </si>
  <si>
    <t>Limit Curve</t>
  </si>
  <si>
    <t>elementi di supporto per selezioni e grafici</t>
  </si>
  <si>
    <t>Ro</t>
  </si>
  <si>
    <t>Spessore isolante</t>
  </si>
  <si>
    <t>Conduttività isolante</t>
  </si>
  <si>
    <t>Spessore solaio</t>
  </si>
  <si>
    <t>Resistenza termica del solaio</t>
  </si>
  <si>
    <t>Spessore intonaco</t>
  </si>
  <si>
    <t>s_L</t>
  </si>
  <si>
    <t>s_plaster</t>
  </si>
  <si>
    <t>s_ceiling</t>
  </si>
  <si>
    <t>λ_plaster</t>
  </si>
  <si>
    <t>R_ceiling</t>
  </si>
  <si>
    <t>Conduttività dell'intonaco</t>
  </si>
  <si>
    <t>Ru</t>
  </si>
  <si>
    <t>v</t>
  </si>
  <si>
    <t>qu</t>
  </si>
  <si>
    <t>θ_u</t>
  </si>
  <si>
    <t>m_H</t>
  </si>
  <si>
    <t>Superficie radiante</t>
  </si>
  <si>
    <t>A_F</t>
  </si>
  <si>
    <t>kg/s</t>
  </si>
  <si>
    <t>L</t>
  </si>
  <si>
    <t>perdite di carico distribuite (grafico)</t>
  </si>
  <si>
    <t>Δp_d</t>
  </si>
  <si>
    <t>A_R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</si>
  <si>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</si>
  <si>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K)/W</t>
    </r>
  </si>
  <si>
    <r>
      <t>W/(m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</t>
    </r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</si>
  <si>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</si>
  <si>
    <t>m/s</t>
  </si>
  <si>
    <t>perdite concentrate</t>
  </si>
  <si>
    <t>Δp_c</t>
  </si>
  <si>
    <t xml:space="preserve">perdite di carico complessive </t>
  </si>
  <si>
    <t>Δp</t>
  </si>
  <si>
    <t xml:space="preserve">bar </t>
  </si>
  <si>
    <t>temperatura ambiente adiacente</t>
  </si>
  <si>
    <t>resistenza termica parziale verso alto del paviemnto</t>
  </si>
  <si>
    <t>resistenza termica parziale verso basso del paviemnto</t>
  </si>
  <si>
    <t>perdita termica verso il basso</t>
  </si>
  <si>
    <t>primo tentativo</t>
  </si>
  <si>
    <t>secondo tentativo</t>
  </si>
  <si>
    <t>temperatura superficale massima ammissibile</t>
  </si>
  <si>
    <t>differenza di temperatura massima ammissibile</t>
  </si>
  <si>
    <t>potenza termica massima ammissibile</t>
  </si>
  <si>
    <t>calcolo della potenza massima ammissibile</t>
  </si>
  <si>
    <t>Fa</t>
  </si>
  <si>
    <t>Re</t>
  </si>
  <si>
    <t>G</t>
  </si>
  <si>
    <t>Potenza termica da fornire</t>
  </si>
  <si>
    <t>W</t>
  </si>
  <si>
    <t>m^2/s</t>
  </si>
  <si>
    <t>l/h</t>
  </si>
  <si>
    <r>
      <t>massa volumica dell'acqua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</si>
  <si>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ρ</t>
  </si>
  <si>
    <t>θm_VR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</si>
  <si>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</si>
  <si>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Numero di Reynolds   (v*D)/ </t>
    </r>
    <r>
      <rPr>
        <sz val="11"/>
        <color theme="1"/>
        <rFont val="Calibri"/>
        <family val="2"/>
      </rPr>
      <t>ν</t>
    </r>
  </si>
  <si>
    <t>Di</t>
  </si>
  <si>
    <t>diametro interno tubo</t>
  </si>
  <si>
    <t xml:space="preserve">viscosità cinematica del fluido vettore </t>
  </si>
  <si>
    <t>ν</t>
  </si>
  <si>
    <r>
      <t>perdite di carico distribuite                                                              r=14.68*</t>
    </r>
    <r>
      <rPr>
        <sz val="11"/>
        <color theme="1"/>
        <rFont val="Calibri"/>
        <family val="2"/>
      </rPr>
      <t>ν</t>
    </r>
    <r>
      <rPr>
        <sz val="7.7"/>
        <color theme="1"/>
        <rFont val="Calibri"/>
        <family val="2"/>
      </rPr>
      <t>^</t>
    </r>
    <r>
      <rPr>
        <sz val="11"/>
        <color theme="1"/>
        <rFont val="Calibri"/>
        <family val="2"/>
        <scheme val="minor"/>
      </rPr>
      <t>0.25*</t>
    </r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scheme val="minor"/>
      </rPr>
      <t>*G^1.75/D^4.75</t>
    </r>
  </si>
  <si>
    <t>mm</t>
  </si>
  <si>
    <t>APPLICAZIONE DEL METODO DI DIMENSIONAMENTO PER SISTEMI RADIANTI A PAVIMENTO DI TIPOLOGIA A E C</t>
  </si>
  <si>
    <t>parametri del sistema radiante</t>
  </si>
  <si>
    <t>parametri della stratigrafia del pavimento</t>
  </si>
  <si>
    <t>d_a (o D)</t>
  </si>
  <si>
    <t>Fattore di attrito per tubi a bassa rugosità                                       Fa= 0.316*Re^(-0.25)</t>
  </si>
  <si>
    <t xml:space="preserve">parametri di progetto </t>
  </si>
  <si>
    <t>potenza termica specifica</t>
  </si>
  <si>
    <t>Bo</t>
  </si>
  <si>
    <t>sse</t>
  </si>
  <si>
    <t>temperatura ambiente interno</t>
  </si>
  <si>
    <t>coefficiente equivalente di scambio termico</t>
  </si>
  <si>
    <t>temperatura di mandata del fluido</t>
  </si>
  <si>
    <t>caduta termica del fluido</t>
  </si>
  <si>
    <t>temperatura di ritorno del fluido</t>
  </si>
  <si>
    <t>differenza di temperatura media logaritmica fluido-ambiente</t>
  </si>
  <si>
    <t>calcolo la potenza termica emessa verso l'alto</t>
  </si>
  <si>
    <t>potenza termica emessa verso l'alto</t>
  </si>
  <si>
    <t>potenza totale emessa dal pannello q+qu</t>
  </si>
  <si>
    <t>q_tot</t>
  </si>
  <si>
    <t>calcolo la disperisone termica verso il basso</t>
  </si>
  <si>
    <t>calcolo la potenza totale emessa dal pannello</t>
  </si>
  <si>
    <t xml:space="preserve">verifico il valore di portata tramite la potenza scambiata lato fluido </t>
  </si>
  <si>
    <t>quarto tentativo</t>
  </si>
  <si>
    <t>n_circuiti</t>
  </si>
  <si>
    <t>Δp &lt; 1.5 m.c.a.</t>
  </si>
  <si>
    <t>0.2 &lt; v &lt; 0.5 m/s</t>
  </si>
  <si>
    <t>L&lt;100 m</t>
  </si>
  <si>
    <r>
      <t>W/m</t>
    </r>
    <r>
      <rPr>
        <b/>
        <vertAlign val="superscript"/>
        <sz val="11"/>
        <color rgb="FFC00000"/>
        <rFont val="Calibri"/>
        <family val="2"/>
        <scheme val="minor"/>
      </rPr>
      <t>2</t>
    </r>
  </si>
  <si>
    <t>la velocità del fluio dovrebbe essere &gt;0.1 m/s e inferiore a 0.7 m/s  &gt;&gt;    generalemnte 0.2 m/s &lt; v &lt; 0.5 m/s</t>
  </si>
  <si>
    <t>le perdite di carico del sistema dovrebbero essere inferiori a 1.5 m.c.a.</t>
  </si>
  <si>
    <t>le perdite di carico concentrate posso essere assunte pari al 20 - 30% delle perdite distribuite</t>
  </si>
  <si>
    <t xml:space="preserve"> * Δp_d</t>
  </si>
  <si>
    <t>Resistenza Rivestimento pavimento</t>
  </si>
  <si>
    <t>W/(m K)</t>
  </si>
  <si>
    <t>Spessore piastrella/rivestimento [m]</t>
  </si>
  <si>
    <t>Spessore colla cementizia/epossidica [m]</t>
  </si>
  <si>
    <t>S [m]</t>
  </si>
  <si>
    <t>λ [W/(m K)]</t>
  </si>
  <si>
    <t>λ colla cementizia = 1.4 (W/mK)</t>
  </si>
  <si>
    <t>λ piatrelle ceramica = 1 (W/mK)</t>
  </si>
  <si>
    <t>Sistemi con tubazioni annegate nel massetto.</t>
  </si>
  <si>
    <t>Stima della lunghezza del tubo per il singolo circuito</t>
  </si>
  <si>
    <t>Calcolo della portata di massa per il singolo circuito</t>
  </si>
  <si>
    <t xml:space="preserve">Calcolo della portata volumetrica oraria  </t>
  </si>
  <si>
    <t>L/h</t>
  </si>
  <si>
    <t>Velocità del fluido all'interno del tubo</t>
  </si>
  <si>
    <t>T media acqua</t>
  </si>
  <si>
    <t>Sezione di passaggio del fluido nel tubo</t>
  </si>
  <si>
    <t>Conduttività termica del materiale dei Tubi</t>
  </si>
  <si>
    <t>Passo tra i Tubi nel sistema</t>
  </si>
  <si>
    <t>Coefficiente Caratteristico del Sistema (BASE)</t>
  </si>
  <si>
    <t>Ricalcolo del coefficiente in funzione delle caratteristiche del mio sistema</t>
  </si>
  <si>
    <t xml:space="preserve">λ_R = 0.35 W/(m K) e s_R = 0.002 m </t>
  </si>
  <si>
    <t>floor covering factor (calcolato tramite equazione)</t>
  </si>
  <si>
    <t>esponente del fattore di distanza tra i tubi (calcolato tramite equazione)</t>
  </si>
  <si>
    <t>spacing factor (funzione di R_λ,B) - da tabella</t>
  </si>
  <si>
    <t>covering factor (funzione di R_λ,B e T passo) - da tabella</t>
  </si>
  <si>
    <t>pipe external diameter factor  (funzione di R_λ,B e T passo) - da tabella</t>
  </si>
  <si>
    <t>esponente del fattore del diametro esterno dei tubi</t>
  </si>
  <si>
    <t>esponente del fattore di rivestimento (calcolato tramite equazione)</t>
  </si>
  <si>
    <t>APPLICATION OF THE SIZING METHOD FOR RADIANT FLOOR SYSTEMS OF TYPES A AND C</t>
  </si>
  <si>
    <t>Systems with pipes embedded in the screed.</t>
  </si>
  <si>
    <t>Parameters of the radiant system</t>
  </si>
  <si>
    <t>External diameter of the pipes</t>
  </si>
  <si>
    <t>Thickness of the pipes</t>
  </si>
  <si>
    <t>Fluid passage section</t>
  </si>
  <si>
    <t xml:space="preserve"> parameters of the floor stratigraphy</t>
  </si>
  <si>
    <t>Thickness of the screed above the pipes</t>
  </si>
  <si>
    <t>Thermal conductivity of the pipes' material</t>
  </si>
  <si>
    <t>Thermal conductivity of the screed</t>
  </si>
  <si>
    <t>Resistance of the floor covering</t>
  </si>
  <si>
    <t>Spessore 8minimo) massetto sottostante tangente superiore tubi</t>
  </si>
  <si>
    <t>Thickness of the insulation material</t>
  </si>
  <si>
    <t>Thermal conductivity of the insulation material</t>
  </si>
  <si>
    <t>Thichness of the slab</t>
  </si>
  <si>
    <t>Thermal resistance of the slab</t>
  </si>
  <si>
    <t>Thickness of the plaster</t>
  </si>
  <si>
    <t>thermal conductivity of the plaster</t>
  </si>
  <si>
    <t>Design parameters</t>
  </si>
  <si>
    <t>Thermal power to be supplied</t>
  </si>
  <si>
    <t>Specific thermal power</t>
  </si>
  <si>
    <t>q_needed</t>
  </si>
  <si>
    <t>s_insul</t>
  </si>
  <si>
    <t>λ_insul</t>
  </si>
  <si>
    <t>Application of the method provided by the UNI EN 11264-2 standard for type A and C systems</t>
  </si>
  <si>
    <t>applicazione del metodo della norma UNI EN 11264-2 per sistemi di tipo A e C</t>
  </si>
  <si>
    <t>calculation of the thermal power emitted towards the upper side</t>
  </si>
  <si>
    <t>System Characteristic Coefficient</t>
  </si>
  <si>
    <t>re-calculation of the coefficient as a function  of my own system's characteristics</t>
  </si>
  <si>
    <t>spacing factor (function of R_λ,B) - from the table</t>
  </si>
  <si>
    <t>Spacing between the pipes</t>
  </si>
  <si>
    <t>exponent of the spacing factor between pipes (calculated by equation)</t>
  </si>
  <si>
    <t>floor covering factor (calculated by equation)</t>
  </si>
  <si>
    <t>covering factor (function of R_λ,B and T spacing) - from the table</t>
  </si>
  <si>
    <t>exponent of the covering factor (calculated by equation)</t>
  </si>
  <si>
    <t>pipe external diameter factor  (function of R_λ,B e T spacing) - from the table</t>
  </si>
  <si>
    <t>exponent of the pipe external diameter factor (calculated by equation)</t>
  </si>
  <si>
    <t>equivalent heat transfer coefficient</t>
  </si>
  <si>
    <t>Indoor environmental temperature</t>
  </si>
  <si>
    <t>Fluid temperature (supply side)</t>
  </si>
  <si>
    <t>Fluid temperature difference</t>
  </si>
  <si>
    <t>Fluid temperature (return side)</t>
  </si>
  <si>
    <t>logarithmic mean temperature difference (fluid-environment)</t>
  </si>
  <si>
    <t>Thermal power emitted towards the upper side</t>
  </si>
  <si>
    <t>Calculation of the maximum power allowed</t>
  </si>
  <si>
    <t>maximum surface temperature allowed</t>
  </si>
  <si>
    <t>Maximum termperature difference allowed</t>
  </si>
  <si>
    <t>maximum power allowed</t>
  </si>
  <si>
    <t>Calcuation of the thermal loss towards the bottom side</t>
  </si>
  <si>
    <t>Temperature of the adjacent environment</t>
  </si>
  <si>
    <t>partial thermal resistance towards the upper side of the floor</t>
  </si>
  <si>
    <t>partial thermal resistance towards the bottom side of the floor</t>
  </si>
  <si>
    <t>Thermal loss towards the bottom side</t>
  </si>
  <si>
    <t>Calculation of the total thermal loss of the panel</t>
  </si>
  <si>
    <t>Total power emitted by the panel q+qu</t>
  </si>
  <si>
    <t>First trial</t>
  </si>
  <si>
    <t>Evaluation of the length of the pipes for the single circuit</t>
  </si>
  <si>
    <t>Calculation of the mass flow rate for the single circuit</t>
  </si>
  <si>
    <t>Calculation of the hourly volumetric flow rate</t>
  </si>
  <si>
    <t>fluid velocity inside the pipe</t>
  </si>
  <si>
    <t>average temperature of the water</t>
  </si>
  <si>
    <t>cinematic viscosity of the heat transfer fluid</t>
  </si>
  <si>
    <t>internal diameter of the pipe</t>
  </si>
  <si>
    <t>Reynolds number (v*D)/ ν</t>
  </si>
  <si>
    <r>
      <t>Water density 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</si>
  <si>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Friction coefficient for pipes with low roughness</t>
  </si>
  <si>
    <t>Distributed pressure drop                        r=14.68*ν^0.25*ρ*G^1.75/D^4.75</t>
  </si>
  <si>
    <t xml:space="preserve">Distributed pressure drop (graph)           </t>
  </si>
  <si>
    <t xml:space="preserve">Total pressure drop </t>
  </si>
  <si>
    <t xml:space="preserve">Concentrated pressure drop         </t>
  </si>
  <si>
    <t>Second trial</t>
  </si>
  <si>
    <t>Third trial</t>
  </si>
  <si>
    <t>terzo tentativo</t>
  </si>
  <si>
    <t>Fourth trial</t>
  </si>
  <si>
    <t>thickness of the tile/covering [m]</t>
  </si>
  <si>
    <t>Thickness of cement/epoxy glue</t>
  </si>
  <si>
    <t>λ ceramic tiles = 1 (W/mK)</t>
  </si>
  <si>
    <t>λ cement glue= 1.4 (W/mK)</t>
  </si>
  <si>
    <t>If 0.05 m &lt;= T &lt;= 0.375 m</t>
  </si>
  <si>
    <t xml:space="preserve">If T &gt; 0.375 </t>
  </si>
  <si>
    <t>To be applied when s_u &gt;= 0.01 m</t>
  </si>
  <si>
    <t>To be applied when 0.008 m &lt;= D &lt;= 0.03 m</t>
  </si>
  <si>
    <t>Evaluation criteria for the sizing calculation obtained</t>
  </si>
  <si>
    <t>Criteri di valutazione del dimensionamento ottenuto</t>
  </si>
  <si>
    <t>The total length of the circuit should be lower than the commercial length of the pipes (100-120m)</t>
  </si>
  <si>
    <t>la lunghezza del circuito dovrebbe essere inferiore alla lunghezza commerciale dei tubi (100-120 m)</t>
  </si>
  <si>
    <t>Verify the flow rate value considering the thermal power exchanged at the fluid side</t>
  </si>
  <si>
    <t>the fluid velocity should be &gt;0.1 m/s and if it is lower than 0.7 m/s generally it should be 0.2 m/s &lt; v &lt; 0.5 m/s</t>
  </si>
  <si>
    <t>Concentrated pressure drops can be assumed equal to 20-30% of the distributed pressure drops</t>
  </si>
  <si>
    <t>The total pressure drop of the system should be lower than 1.5 m.c.a</t>
  </si>
  <si>
    <t>Minimum thickness of the screed (from pipe to surface)</t>
  </si>
  <si>
    <t>Radiant urface area</t>
  </si>
  <si>
    <t>n_circuits</t>
  </si>
  <si>
    <t>mm w.c. /m</t>
  </si>
  <si>
    <t>mm w.c. /100 m</t>
  </si>
  <si>
    <t>m.w.c = meters of water column</t>
  </si>
  <si>
    <t>m.w.c.</t>
  </si>
  <si>
    <t>m.w.c./m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</si>
</sst>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7.7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8" fillId="4" borderId="7" applyNumberFormat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1" fontId="0" fillId="0" borderId="0" xfId="0" applyNumberFormat="1"/>
    <xf numFmtId="1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/>
    <xf numFmtId="0" fontId="8" fillId="4" borderId="7" xfId="2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" fillId="0" borderId="8" xfId="0" applyFont="1" applyBorder="1"/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164" fontId="0" fillId="0" borderId="10" xfId="0" applyNumberFormat="1" applyBorder="1"/>
    <xf numFmtId="165" fontId="0" fillId="0" borderId="10" xfId="0" applyNumberFormat="1" applyBorder="1"/>
    <xf numFmtId="2" fontId="0" fillId="0" borderId="10" xfId="0" applyNumberFormat="1" applyBorder="1"/>
    <xf numFmtId="1" fontId="0" fillId="0" borderId="10" xfId="0" applyNumberFormat="1" applyBorder="1"/>
    <xf numFmtId="9" fontId="0" fillId="0" borderId="10" xfId="0" applyNumberFormat="1" applyBorder="1"/>
    <xf numFmtId="0" fontId="0" fillId="0" borderId="13" xfId="0" applyBorder="1" applyAlignment="1">
      <alignment horizontal="left"/>
    </xf>
    <xf numFmtId="2" fontId="0" fillId="0" borderId="11" xfId="0" applyNumberFormat="1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1" fillId="0" borderId="9" xfId="0" applyFont="1" applyBorder="1"/>
    <xf numFmtId="0" fontId="0" fillId="0" borderId="16" xfId="0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0" xfId="0" applyNumberFormat="1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7" fontId="8" fillId="4" borderId="7" xfId="2" applyNumberFormat="1" applyAlignment="1">
      <alignment horizontal="center"/>
    </xf>
    <xf numFmtId="166" fontId="8" fillId="4" borderId="7" xfId="2" applyNumberFormat="1" applyAlignment="1">
      <alignment horizontal="center"/>
    </xf>
    <xf numFmtId="0" fontId="3" fillId="0" borderId="0" xfId="0" applyFont="1"/>
    <xf numFmtId="0" fontId="3" fillId="0" borderId="15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4" xfId="0" applyFont="1" applyBorder="1"/>
    <xf numFmtId="0" fontId="3" fillId="0" borderId="5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left"/>
    </xf>
    <xf numFmtId="0" fontId="0" fillId="0" borderId="2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15" xfId="0" applyFont="1" applyBorder="1"/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60% - Colore 2" xfId="1" builtinId="36"/>
    <cellStyle name="Input" xfId="2" builtinId="20"/>
    <cellStyle name="Normale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Generali'!$AY$7</c:f>
              <c:strCache>
                <c:ptCount val="1"/>
                <c:pt idx="0">
                  <c:v>q</c:v>
                </c:pt>
              </c:strCache>
            </c:strRef>
          </c:tx>
          <c:marker>
            <c:symbol val="none"/>
          </c:marker>
          <c:xVal>
            <c:numRef>
              <c:f>'Dati Generali'!$AX$8:$AX$9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xVal>
          <c:yVal>
            <c:numRef>
              <c:f>'Dati Generali'!$AY$8:$AY$9</c:f>
              <c:numCache>
                <c:formatCode>General</c:formatCode>
                <c:ptCount val="2"/>
                <c:pt idx="0">
                  <c:v>0</c:v>
                </c:pt>
                <c:pt idx="1">
                  <c:v>400.63730893816529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2-490C-B374-3240E0B1A490}"/>
            </c:ext>
          </c:extLst>
        </c:ser>
        <c:ser>
          <c:idx val="1"/>
          <c:order val="1"/>
          <c:tx>
            <c:strRef>
              <c:f>'Dati Generali'!$BA$8:$BA$9</c:f>
              <c:strCache>
                <c:ptCount val="2"/>
                <c:pt idx="0">
                  <c:v>11.97217059</c:v>
                </c:pt>
                <c:pt idx="1">
                  <c:v>11.97217059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'Dati Generali'!$BA$8:$BA$9</c:f>
              <c:numCache>
                <c:formatCode>General</c:formatCode>
                <c:ptCount val="2"/>
                <c:pt idx="0">
                  <c:v>11.972170593928494</c:v>
                </c:pt>
                <c:pt idx="1">
                  <c:v>11.972170593928494</c:v>
                </c:pt>
              </c:numCache>
            </c:numRef>
          </c:xVal>
          <c:yVal>
            <c:numRef>
              <c:f>'Dati Generali'!$BB$8:$BB$9</c:f>
              <c:numCache>
                <c:formatCode>General</c:formatCode>
                <c:ptCount val="2"/>
                <c:pt idx="0">
                  <c:v>0</c:v>
                </c:pt>
                <c:pt idx="1">
                  <c:v>79.941636815002468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F2-490C-B374-3240E0B1A490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  <a:headEnd type="none"/>
              <a:tailEnd type="arrow"/>
            </a:ln>
          </c:spPr>
          <c:marker>
            <c:symbol val="none"/>
          </c:marker>
          <c:xVal>
            <c:numRef>
              <c:f>'Dati Generali'!$BD$8:$BD$9</c:f>
              <c:numCache>
                <c:formatCode>General</c:formatCode>
                <c:ptCount val="2"/>
                <c:pt idx="0">
                  <c:v>11.972170593928494</c:v>
                </c:pt>
                <c:pt idx="1">
                  <c:v>0</c:v>
                </c:pt>
              </c:numCache>
            </c:numRef>
          </c:xVal>
          <c:yVal>
            <c:numRef>
              <c:f>'Dati Generali'!$BE$8:$BE$9</c:f>
              <c:numCache>
                <c:formatCode>General</c:formatCode>
                <c:ptCount val="2"/>
                <c:pt idx="0">
                  <c:v>79.941636815002468</c:v>
                </c:pt>
                <c:pt idx="1">
                  <c:v>79.941636815002468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F2-490C-B374-3240E0B1A490}"/>
            </c:ext>
          </c:extLst>
        </c:ser>
        <c:ser>
          <c:idx val="3"/>
          <c:order val="3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'Dati Generali'!$BH$8:$BH$9</c:f>
              <c:numCache>
                <c:formatCode>0.0</c:formatCode>
                <c:ptCount val="2"/>
                <c:pt idx="0" formatCode="General">
                  <c:v>0</c:v>
                </c:pt>
                <c:pt idx="1">
                  <c:v>13.337720836085239</c:v>
                </c:pt>
              </c:numCache>
            </c:numRef>
          </c:xVal>
          <c:yVal>
            <c:numRef>
              <c:f>'Dati Generali'!$BI$8:$BI$9</c:f>
              <c:numCache>
                <c:formatCode>General</c:formatCode>
                <c:ptCount val="2"/>
                <c:pt idx="0">
                  <c:v>89.059809718961446</c:v>
                </c:pt>
                <c:pt idx="1">
                  <c:v>89.059809718961446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F2-490C-B374-3240E0B1A490}"/>
            </c:ext>
          </c:extLst>
        </c:ser>
        <c:ser>
          <c:idx val="4"/>
          <c:order val="4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'Dati Generali'!$BH$11:$BH$12</c:f>
              <c:numCache>
                <c:formatCode>General</c:formatCode>
                <c:ptCount val="2"/>
                <c:pt idx="0">
                  <c:v>13.337720836085239</c:v>
                </c:pt>
                <c:pt idx="1">
                  <c:v>13.337720836085239</c:v>
                </c:pt>
              </c:numCache>
            </c:numRef>
          </c:xVal>
          <c:yVal>
            <c:numRef>
              <c:f>'Dati Generali'!$BI$11:$BI$12</c:f>
              <c:numCache>
                <c:formatCode>General</c:formatCode>
                <c:ptCount val="2"/>
                <c:pt idx="0">
                  <c:v>0</c:v>
                </c:pt>
                <c:pt idx="1">
                  <c:v>89.059809718961446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F2-490C-B374-3240E0B1A490}"/>
            </c:ext>
          </c:extLst>
        </c:ser>
        <c:ser>
          <c:idx val="5"/>
          <c:order val="5"/>
          <c:tx>
            <c:v>q_G</c:v>
          </c:tx>
          <c:marker>
            <c:symbol val="none"/>
          </c:marker>
          <c:xVal>
            <c:numRef>
              <c:f>'Dati Generali'!$AU$13:$AU$38</c:f>
              <c:numCache>
                <c:formatCode>0.00</c:formatCode>
                <c:ptCount val="2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  <c:pt idx="21">
                  <c:v>52</c:v>
                </c:pt>
                <c:pt idx="22">
                  <c:v>54</c:v>
                </c:pt>
                <c:pt idx="23">
                  <c:v>56</c:v>
                </c:pt>
                <c:pt idx="24">
                  <c:v>58</c:v>
                </c:pt>
                <c:pt idx="25">
                  <c:v>60</c:v>
                </c:pt>
              </c:numCache>
            </c:numRef>
          </c:xVal>
          <c:yVal>
            <c:numRef>
              <c:f>'Dati Generali'!$AV$13:$AV$38</c:f>
              <c:numCache>
                <c:formatCode>0.00</c:formatCode>
                <c:ptCount val="26"/>
                <c:pt idx="0">
                  <c:v>87.965746358316096</c:v>
                </c:pt>
                <c:pt idx="1">
                  <c:v>88.656756910488014</c:v>
                </c:pt>
                <c:pt idx="2">
                  <c:v>89.245231210360018</c:v>
                </c:pt>
                <c:pt idx="3">
                  <c:v>89.758147221909368</c:v>
                </c:pt>
                <c:pt idx="4">
                  <c:v>90.213017525788374</c:v>
                </c:pt>
                <c:pt idx="5">
                  <c:v>90.621865826337199</c:v>
                </c:pt>
                <c:pt idx="6">
                  <c:v>90.993310091923831</c:v>
                </c:pt>
                <c:pt idx="7">
                  <c:v>91.33374139308826</c:v>
                </c:pt>
                <c:pt idx="8">
                  <c:v>91.648032445166152</c:v>
                </c:pt>
                <c:pt idx="9">
                  <c:v>91.939984632678588</c:v>
                </c:pt>
                <c:pt idx="10">
                  <c:v>92.212621518122234</c:v>
                </c:pt>
                <c:pt idx="11">
                  <c:v>92.468388106793057</c:v>
                </c:pt>
                <c:pt idx="12">
                  <c:v>92.709290032037885</c:v>
                </c:pt>
                <c:pt idx="13">
                  <c:v>92.936993187213787</c:v>
                </c:pt>
                <c:pt idx="14">
                  <c:v>93.152896582857551</c:v>
                </c:pt>
                <c:pt idx="15">
                  <c:v>93.358186633180139</c:v>
                </c:pt>
                <c:pt idx="16">
                  <c:v>93.553878283216946</c:v>
                </c:pt>
                <c:pt idx="17">
                  <c:v>93.740846632003326</c:v>
                </c:pt>
                <c:pt idx="18">
                  <c:v>93.919851573953792</c:v>
                </c:pt>
                <c:pt idx="19">
                  <c:v>94.09155723214468</c:v>
                </c:pt>
                <c:pt idx="20">
                  <c:v>94.25654745240881</c:v>
                </c:pt>
                <c:pt idx="21">
                  <c:v>94.415338280233627</c:v>
                </c:pt>
                <c:pt idx="22">
                  <c:v>94.568388099930104</c:v>
                </c:pt>
                <c:pt idx="23">
                  <c:v>94.716105943327051</c:v>
                </c:pt>
                <c:pt idx="24">
                  <c:v>94.85885835120709</c:v>
                </c:pt>
                <c:pt idx="25">
                  <c:v>94.996975080176554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8F2-490C-B374-3240E0B1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264792"/>
        <c:axId val="452265184"/>
      </c:scatterChart>
      <c:valAx>
        <c:axId val="452264792"/>
        <c:scaling>
          <c:orientation val="minMax"/>
          <c:max val="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Δθ</a:t>
                </a:r>
                <a:r>
                  <a:rPr lang="it-IT"/>
                  <a:t>_H [°C]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crossAx val="452265184"/>
        <c:crosses val="autoZero"/>
        <c:crossBetween val="midCat"/>
        <c:majorUnit val="10"/>
        <c:minorUnit val="2"/>
      </c:valAx>
      <c:valAx>
        <c:axId val="452265184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 [W/m^2]</a:t>
                </a:r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crossAx val="452264792"/>
        <c:crosses val="autoZero"/>
        <c:crossBetween val="midCat"/>
        <c:majorUnit val="10"/>
        <c:minorUnit val="2"/>
      </c:val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a_T!$C$10</c:f>
              <c:strCache>
                <c:ptCount val="1"/>
                <c:pt idx="0">
                  <c:v>a_T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4.1293980187960377E-2"/>
                  <c:y val="-0.49919999783019614"/>
                </c:manualLayout>
              </c:layout>
              <c:numFmt formatCode="0.000000E+00" sourceLinked="0"/>
              <c:txPr>
                <a:bodyPr/>
                <a:lstStyle/>
                <a:p>
                  <a:pPr>
                    <a:defRPr sz="1200"/>
                  </a:pPr>
                  <a:endParaRPr lang="it-IT"/>
                </a:p>
              </c:txPr>
            </c:trendlineLbl>
          </c:trendline>
          <c:xVal>
            <c:numRef>
              <c:f>a_T!$D$9:$G$9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a_T!$D$10:$G$10</c:f>
              <c:numCache>
                <c:formatCode>General</c:formatCode>
                <c:ptCount val="4"/>
                <c:pt idx="0">
                  <c:v>1.23</c:v>
                </c:pt>
                <c:pt idx="1">
                  <c:v>1.1879999999999999</c:v>
                </c:pt>
                <c:pt idx="2">
                  <c:v>1.1559999999999999</c:v>
                </c:pt>
                <c:pt idx="3">
                  <c:v>1.1339999999999999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9A-4C15-A53A-074003E5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5464"/>
        <c:axId val="454524288"/>
      </c:scatterChart>
      <c:valAx>
        <c:axId val="45452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4288"/>
        <c:crosses val="autoZero"/>
        <c:crossBetween val="midCat"/>
      </c:valAx>
      <c:valAx>
        <c:axId val="45452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5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4.7644326939951923E-2"/>
                  <c:y val="-0.20359580052493439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a_u!$B$23:$B$26</c:f>
              <c:numCache>
                <c:formatCode>General</c:formatCode>
                <c:ptCount val="4"/>
                <c:pt idx="0">
                  <c:v>1.069</c:v>
                </c:pt>
                <c:pt idx="1">
                  <c:v>1.056</c:v>
                </c:pt>
                <c:pt idx="2">
                  <c:v>1.0429999999999999</c:v>
                </c:pt>
                <c:pt idx="3">
                  <c:v>1.0369999999999999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D0-4C96-8123-960F4EC52E1E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1.4377904809137178E-2"/>
                  <c:y val="-0.16257035578885973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a_u!$C$23:$C$26</c:f>
              <c:numCache>
                <c:formatCode>General</c:formatCode>
                <c:ptCount val="4"/>
                <c:pt idx="0">
                  <c:v>1.0660000000000001</c:v>
                </c:pt>
                <c:pt idx="1">
                  <c:v>1.0529999999999999</c:v>
                </c:pt>
                <c:pt idx="2">
                  <c:v>1.0409999999999999</c:v>
                </c:pt>
                <c:pt idx="3">
                  <c:v>1.0349999999999999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D0-4C96-8123-960F4EC52E1E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-0.10170822397200351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a_u!$D$23:$D$26</c:f>
              <c:numCache>
                <c:formatCode>General</c:formatCode>
                <c:ptCount val="4"/>
                <c:pt idx="0">
                  <c:v>1.0629999999999999</c:v>
                </c:pt>
                <c:pt idx="1">
                  <c:v>1.05</c:v>
                </c:pt>
                <c:pt idx="2">
                  <c:v>1.0389999999999999</c:v>
                </c:pt>
                <c:pt idx="3">
                  <c:v>1.0335000000000001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D0-4C96-8123-960F4EC52E1E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2553062562701968E-3"/>
                  <c:y val="-7.2577282006415861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a_u!$E$23:$E$26</c:f>
              <c:numCache>
                <c:formatCode>General</c:formatCode>
                <c:ptCount val="4"/>
                <c:pt idx="0">
                  <c:v>1.0569999999999999</c:v>
                </c:pt>
                <c:pt idx="1">
                  <c:v>1.046</c:v>
                </c:pt>
                <c:pt idx="2">
                  <c:v>1.0349999999999999</c:v>
                </c:pt>
                <c:pt idx="3">
                  <c:v>1.0305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D0-4C96-8123-960F4EC52E1E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-3.8816345873432488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a_u!$F$23:$F$26</c:f>
              <c:numCache>
                <c:formatCode>General</c:formatCode>
                <c:ptCount val="4"/>
                <c:pt idx="0">
                  <c:v>1.0509999999999999</c:v>
                </c:pt>
                <c:pt idx="1">
                  <c:v>1.0409999999999999</c:v>
                </c:pt>
                <c:pt idx="2">
                  <c:v>1.0315000000000001</c:v>
                </c:pt>
                <c:pt idx="3">
                  <c:v>1.0275000000000001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D0-4C96-8123-960F4EC52E1E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1689558796436563E-4"/>
                  <c:y val="8.6860236220472439E-2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a_u!$G$23:$G$26</c:f>
              <c:numCache>
                <c:formatCode>General</c:formatCode>
                <c:ptCount val="4"/>
                <c:pt idx="0">
                  <c:v>1.048</c:v>
                </c:pt>
                <c:pt idx="1">
                  <c:v>1.038</c:v>
                </c:pt>
                <c:pt idx="2">
                  <c:v>1.0295000000000001</c:v>
                </c:pt>
                <c:pt idx="3">
                  <c:v>1.026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D0-4C96-8123-960F4EC52E1E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4.830507142676279E-2"/>
                  <c:y val="0.20794291338582677"/>
                </c:manualLayout>
              </c:layout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a_u!$H$23:$H$26</c:f>
              <c:numCache>
                <c:formatCode>General</c:formatCode>
                <c:ptCount val="4"/>
                <c:pt idx="0">
                  <c:v>1.0395000000000001</c:v>
                </c:pt>
                <c:pt idx="1">
                  <c:v>1.0309999999999999</c:v>
                </c:pt>
                <c:pt idx="2">
                  <c:v>1.024</c:v>
                </c:pt>
                <c:pt idx="3">
                  <c:v>1.0209999999999999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7D0-4C96-8123-960F4EC52E1E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numFmt formatCode="General" sourceLinked="0"/>
            </c:trendlineLbl>
          </c:trendline>
          <c:xVal>
            <c:numRef>
              <c:f>a_u!$A$23:$A$26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a_u!$I$23:$I$26</c:f>
              <c:numCache>
                <c:formatCode>General</c:formatCode>
                <c:ptCount val="4"/>
                <c:pt idx="0">
                  <c:v>1.03</c:v>
                </c:pt>
                <c:pt idx="1">
                  <c:v>1.0221</c:v>
                </c:pt>
                <c:pt idx="2">
                  <c:v>1.0181</c:v>
                </c:pt>
                <c:pt idx="3">
                  <c:v>1.0149999999999999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7D0-4C96-8123-960F4EC5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1936"/>
        <c:axId val="454523112"/>
      </c:scatterChart>
      <c:valAx>
        <c:axId val="4545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3112"/>
        <c:crosses val="autoZero"/>
        <c:crossBetween val="midCat"/>
      </c:valAx>
      <c:valAx>
        <c:axId val="454523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1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005726556907658"/>
                  <c:y val="-1.371742642599123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a_D!$B$23:$B$26</c:f>
              <c:numCache>
                <c:formatCode>General</c:formatCode>
                <c:ptCount val="4"/>
                <c:pt idx="0">
                  <c:v>1.0129999999999999</c:v>
                </c:pt>
                <c:pt idx="1">
                  <c:v>1.0129999999999999</c:v>
                </c:pt>
                <c:pt idx="2">
                  <c:v>1.012</c:v>
                </c:pt>
                <c:pt idx="3">
                  <c:v>1.0109999999999999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C8-4ADD-B496-59E5D9586D59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773997501649193"/>
                  <c:y val="-5.1801898995754367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a_D!$C$23:$C$26</c:f>
              <c:numCache>
                <c:formatCode>General</c:formatCode>
                <c:ptCount val="4"/>
                <c:pt idx="0">
                  <c:v>1.0209999999999999</c:v>
                </c:pt>
                <c:pt idx="1">
                  <c:v>1.0189999999999999</c:v>
                </c:pt>
                <c:pt idx="2">
                  <c:v>1.016</c:v>
                </c:pt>
                <c:pt idx="3">
                  <c:v>1.014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C8-4ADD-B496-59E5D9586D59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5699131191488764"/>
                  <c:y val="-7.6223478200194303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a_D!$D$23:$D$26</c:f>
              <c:numCache>
                <c:formatCode>General</c:formatCode>
                <c:ptCount val="4"/>
                <c:pt idx="0">
                  <c:v>1.0289999999999999</c:v>
                </c:pt>
                <c:pt idx="1">
                  <c:v>1.0249999999999999</c:v>
                </c:pt>
                <c:pt idx="2">
                  <c:v>1.022</c:v>
                </c:pt>
                <c:pt idx="3">
                  <c:v>1.018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DC8-4ADD-B496-59E5D9586D59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542254410712028"/>
                  <c:y val="-8.1499659168370819E-2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a_D!$E$23:$E$26</c:f>
              <c:numCache>
                <c:formatCode>General</c:formatCode>
                <c:ptCount val="4"/>
                <c:pt idx="0">
                  <c:v>1.04</c:v>
                </c:pt>
                <c:pt idx="1">
                  <c:v>1.034</c:v>
                </c:pt>
                <c:pt idx="2">
                  <c:v>1.0289999999999999</c:v>
                </c:pt>
                <c:pt idx="3">
                  <c:v>1.024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DC8-4ADD-B496-59E5D9586D59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2312321922326553"/>
                  <c:y val="-0.15766860430789709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a_D!$F$23:$F$26</c:f>
              <c:numCache>
                <c:formatCode>General</c:formatCode>
                <c:ptCount val="4"/>
                <c:pt idx="0">
                  <c:v>1.046</c:v>
                </c:pt>
                <c:pt idx="1">
                  <c:v>1.04</c:v>
                </c:pt>
                <c:pt idx="2">
                  <c:v>1.0349999999999999</c:v>
                </c:pt>
                <c:pt idx="3">
                  <c:v>1.03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DC8-4ADD-B496-59E5D9586D59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599309444608192"/>
                  <c:y val="-0.18212002640774197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a_D!$G$23:$G$26</c:f>
              <c:numCache>
                <c:formatCode>General</c:formatCode>
                <c:ptCount val="4"/>
                <c:pt idx="0">
                  <c:v>1.0489999999999999</c:v>
                </c:pt>
                <c:pt idx="1">
                  <c:v>1.0429999999999999</c:v>
                </c:pt>
                <c:pt idx="2">
                  <c:v>1.038</c:v>
                </c:pt>
                <c:pt idx="3">
                  <c:v>1.0329999999999999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DC8-4ADD-B496-59E5D9586D59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3.0752452734851995E-2"/>
                  <c:y val="-0.15740280931141276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a_D!$H$23:$H$26</c:f>
              <c:numCache>
                <c:formatCode>General</c:formatCode>
                <c:ptCount val="4"/>
                <c:pt idx="0">
                  <c:v>1.0529999999999999</c:v>
                </c:pt>
                <c:pt idx="1">
                  <c:v>1.0489999999999999</c:v>
                </c:pt>
                <c:pt idx="2">
                  <c:v>1.044</c:v>
                </c:pt>
                <c:pt idx="3">
                  <c:v>1.0389999999999999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DC8-4ADD-B496-59E5D9586D59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25000378963324771"/>
                  <c:y val="-0.20094058794797889"/>
                </c:manualLayout>
              </c:layout>
              <c:numFmt formatCode="General" sourceLinked="0"/>
            </c:trendlineLbl>
          </c:trendline>
          <c:xVal>
            <c:numRef>
              <c:f>a_D!$A$23:$A$26</c:f>
              <c:numCache>
                <c:formatCode>General</c:formatCode>
                <c:ptCount val="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</c:numCache>
            </c:numRef>
          </c:xVal>
          <c:yVal>
            <c:numRef>
              <c:f>a_D!$I$23:$I$26</c:f>
              <c:numCache>
                <c:formatCode>General</c:formatCode>
                <c:ptCount val="4"/>
                <c:pt idx="0">
                  <c:v>1.056</c:v>
                </c:pt>
                <c:pt idx="1">
                  <c:v>1.0509999999999999</c:v>
                </c:pt>
                <c:pt idx="2">
                  <c:v>1.046</c:v>
                </c:pt>
                <c:pt idx="3">
                  <c:v>1.042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DC8-4ADD-B496-59E5D958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18016"/>
        <c:axId val="454522720"/>
      </c:scatterChart>
      <c:valAx>
        <c:axId val="4545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2720"/>
        <c:crosses val="autoZero"/>
        <c:crossBetween val="midCat"/>
      </c:valAx>
      <c:valAx>
        <c:axId val="45452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18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6334582508737212"/>
                  <c:y val="-3.4930357631676408E-2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B_G!$B$25:$B$33</c:f>
              <c:numCache>
                <c:formatCode>General</c:formatCode>
                <c:ptCount val="9"/>
                <c:pt idx="0">
                  <c:v>85</c:v>
                </c:pt>
                <c:pt idx="1">
                  <c:v>91.5</c:v>
                </c:pt>
                <c:pt idx="2">
                  <c:v>96.8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12-427B-9BDF-D8126E5F18D3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8558283155781997"/>
                  <c:y val="0.20928972835450782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B_G!$C$25:$C$33</c:f>
              <c:numCache>
                <c:formatCode>General</c:formatCode>
                <c:ptCount val="9"/>
                <c:pt idx="0">
                  <c:v>75.3</c:v>
                </c:pt>
                <c:pt idx="1">
                  <c:v>83.5</c:v>
                </c:pt>
                <c:pt idx="2">
                  <c:v>89.9</c:v>
                </c:pt>
                <c:pt idx="3">
                  <c:v>96.3</c:v>
                </c:pt>
                <c:pt idx="4">
                  <c:v>99.5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12-427B-9BDF-D8126E5F18D3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7919252740466264"/>
                  <c:y val="0.27459435668700921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B_G!$D$25:$D$33</c:f>
              <c:numCache>
                <c:formatCode>General</c:formatCode>
                <c:ptCount val="9"/>
                <c:pt idx="0">
                  <c:v>66</c:v>
                </c:pt>
                <c:pt idx="1">
                  <c:v>75.400000000000006</c:v>
                </c:pt>
                <c:pt idx="2">
                  <c:v>82.9</c:v>
                </c:pt>
                <c:pt idx="3">
                  <c:v>89.3</c:v>
                </c:pt>
                <c:pt idx="4">
                  <c:v>95.5</c:v>
                </c:pt>
                <c:pt idx="5">
                  <c:v>98.8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12-427B-9BDF-D8126E5F18D3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6040812222186292E-3"/>
                  <c:y val="0.12221873660214784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B_G!$E$25:$E$33</c:f>
              <c:numCache>
                <c:formatCode>General</c:formatCode>
                <c:ptCount val="9"/>
                <c:pt idx="0">
                  <c:v>51</c:v>
                </c:pt>
                <c:pt idx="1">
                  <c:v>61.1</c:v>
                </c:pt>
                <c:pt idx="2">
                  <c:v>69.2</c:v>
                </c:pt>
                <c:pt idx="3">
                  <c:v>76.3</c:v>
                </c:pt>
                <c:pt idx="4">
                  <c:v>82.7</c:v>
                </c:pt>
                <c:pt idx="5">
                  <c:v>87.5</c:v>
                </c:pt>
                <c:pt idx="6">
                  <c:v>91.8</c:v>
                </c:pt>
                <c:pt idx="7">
                  <c:v>95.1</c:v>
                </c:pt>
                <c:pt idx="8">
                  <c:v>97.8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12-427B-9BDF-D8126E5F18D3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40113908407189014"/>
                  <c:y val="0.32745218600662968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B_G!$F$25:$F$33</c:f>
              <c:numCache>
                <c:formatCode>General</c:formatCode>
                <c:ptCount val="9"/>
                <c:pt idx="0">
                  <c:v>38.5</c:v>
                </c:pt>
                <c:pt idx="1">
                  <c:v>48.2</c:v>
                </c:pt>
                <c:pt idx="2">
                  <c:v>56.2</c:v>
                </c:pt>
                <c:pt idx="3">
                  <c:v>63.1</c:v>
                </c:pt>
                <c:pt idx="4">
                  <c:v>69.099999999999994</c:v>
                </c:pt>
                <c:pt idx="5">
                  <c:v>74.5</c:v>
                </c:pt>
                <c:pt idx="6">
                  <c:v>81.3</c:v>
                </c:pt>
                <c:pt idx="7">
                  <c:v>86.4</c:v>
                </c:pt>
                <c:pt idx="8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E12-427B-9BDF-D8126E5F18D3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966482799275758"/>
                  <c:y val="0.42143471329887444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B_G!$G$25:$G$33</c:f>
              <c:numCache>
                <c:formatCode>General</c:formatCode>
                <c:ptCount val="9"/>
                <c:pt idx="0">
                  <c:v>33</c:v>
                </c:pt>
                <c:pt idx="1">
                  <c:v>42.5</c:v>
                </c:pt>
                <c:pt idx="2">
                  <c:v>49.5</c:v>
                </c:pt>
                <c:pt idx="3">
                  <c:v>56.5</c:v>
                </c:pt>
                <c:pt idx="4">
                  <c:v>62</c:v>
                </c:pt>
                <c:pt idx="5">
                  <c:v>67.5</c:v>
                </c:pt>
                <c:pt idx="6">
                  <c:v>75.3</c:v>
                </c:pt>
                <c:pt idx="7">
                  <c:v>81.599999999999994</c:v>
                </c:pt>
                <c:pt idx="8">
                  <c:v>86.1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E12-427B-9BDF-D8126E5F18D3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3618386827207136"/>
                  <c:y val="0.37366878940929199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B_G!$H$25:$H$33</c:f>
              <c:numCache>
                <c:formatCode>General</c:formatCode>
                <c:ptCount val="9"/>
                <c:pt idx="0">
                  <c:v>20.5</c:v>
                </c:pt>
                <c:pt idx="1">
                  <c:v>26.8</c:v>
                </c:pt>
                <c:pt idx="2">
                  <c:v>31.6</c:v>
                </c:pt>
                <c:pt idx="3">
                  <c:v>36.4</c:v>
                </c:pt>
                <c:pt idx="4">
                  <c:v>41.5</c:v>
                </c:pt>
                <c:pt idx="5">
                  <c:v>47.5</c:v>
                </c:pt>
                <c:pt idx="6">
                  <c:v>57.5</c:v>
                </c:pt>
                <c:pt idx="7">
                  <c:v>65.3</c:v>
                </c:pt>
                <c:pt idx="8">
                  <c:v>72.400000000000006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E12-427B-9BDF-D8126E5F18D3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621570031018852"/>
                  <c:y val="0.40559285917481175"/>
                </c:manualLayout>
              </c:layout>
              <c:numFmt formatCode="General" sourceLinked="0"/>
            </c:trendlineLbl>
          </c:trendline>
          <c:xVal>
            <c:numRef>
              <c:f>B_G!$A$25:$A$33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B_G!$I$25:$I$33</c:f>
              <c:numCache>
                <c:formatCode>General</c:formatCode>
                <c:ptCount val="9"/>
                <c:pt idx="0">
                  <c:v>11.5</c:v>
                </c:pt>
                <c:pt idx="1">
                  <c:v>13.7</c:v>
                </c:pt>
                <c:pt idx="2">
                  <c:v>15.5</c:v>
                </c:pt>
                <c:pt idx="3">
                  <c:v>18.2</c:v>
                </c:pt>
                <c:pt idx="4">
                  <c:v>21.5</c:v>
                </c:pt>
                <c:pt idx="5">
                  <c:v>27.5</c:v>
                </c:pt>
                <c:pt idx="6">
                  <c:v>40</c:v>
                </c:pt>
                <c:pt idx="7">
                  <c:v>49.1</c:v>
                </c:pt>
                <c:pt idx="8">
                  <c:v>58.3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E12-427B-9BDF-D8126E5F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4680"/>
        <c:axId val="454521544"/>
      </c:scatterChart>
      <c:valAx>
        <c:axId val="45452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1544"/>
        <c:crosses val="autoZero"/>
        <c:crossBetween val="midCat"/>
      </c:valAx>
      <c:valAx>
        <c:axId val="454521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4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8470428696412949"/>
                  <c:y val="0.19764435695538057"/>
                </c:manualLayout>
              </c:layout>
              <c:numFmt formatCode="General" sourceLinked="0"/>
            </c:trendlineLbl>
          </c:trendline>
          <c:xVal>
            <c:numRef>
              <c:f>B_G!$B$47:$B$59</c:f>
              <c:numCache>
                <c:formatCode>General</c:formatCode>
                <c:ptCount val="13"/>
                <c:pt idx="0">
                  <c:v>0.17299999999999999</c:v>
                </c:pt>
                <c:pt idx="1">
                  <c:v>0.2</c:v>
                </c:pt>
                <c:pt idx="2">
                  <c:v>0.25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0.45</c:v>
                </c:pt>
                <c:pt idx="7">
                  <c:v>0.5</c:v>
                </c:pt>
                <c:pt idx="8">
                  <c:v>0.55000000000000004</c:v>
                </c:pt>
                <c:pt idx="9">
                  <c:v>0.6</c:v>
                </c:pt>
                <c:pt idx="10">
                  <c:v>0.65</c:v>
                </c:pt>
                <c:pt idx="11">
                  <c:v>0.7</c:v>
                </c:pt>
                <c:pt idx="12">
                  <c:v>0.75</c:v>
                </c:pt>
              </c:numCache>
            </c:numRef>
          </c:xVal>
          <c:yVal>
            <c:numRef>
              <c:f>B_G!$C$47:$C$59</c:f>
              <c:numCache>
                <c:formatCode>General</c:formatCode>
                <c:ptCount val="13"/>
                <c:pt idx="0">
                  <c:v>27.5</c:v>
                </c:pt>
                <c:pt idx="1">
                  <c:v>40</c:v>
                </c:pt>
                <c:pt idx="2">
                  <c:v>57.5</c:v>
                </c:pt>
                <c:pt idx="3">
                  <c:v>69.5</c:v>
                </c:pt>
                <c:pt idx="4">
                  <c:v>78.2</c:v>
                </c:pt>
                <c:pt idx="5">
                  <c:v>84.4</c:v>
                </c:pt>
                <c:pt idx="6">
                  <c:v>88.3</c:v>
                </c:pt>
                <c:pt idx="7">
                  <c:v>91.6</c:v>
                </c:pt>
                <c:pt idx="8">
                  <c:v>94</c:v>
                </c:pt>
                <c:pt idx="9">
                  <c:v>96.3</c:v>
                </c:pt>
                <c:pt idx="10">
                  <c:v>98.6</c:v>
                </c:pt>
                <c:pt idx="11">
                  <c:v>99.8</c:v>
                </c:pt>
                <c:pt idx="12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55-43FC-88AC-E63C31A6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19192"/>
        <c:axId val="454519584"/>
      </c:scatterChart>
      <c:valAx>
        <c:axId val="45451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19584"/>
        <c:crosses val="autoZero"/>
        <c:crossBetween val="midCat"/>
      </c:valAx>
      <c:valAx>
        <c:axId val="45451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19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6334582508737212"/>
                  <c:y val="-3.4930357631676408E-2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n_G!$B$25:$B$33</c:f>
              <c:numCache>
                <c:formatCode>General</c:formatCode>
                <c:ptCount val="9"/>
                <c:pt idx="0">
                  <c:v>8.0000000000000002E-3</c:v>
                </c:pt>
                <c:pt idx="1">
                  <c:v>5.0000000000000001E-3</c:v>
                </c:pt>
                <c:pt idx="2">
                  <c:v>2E-3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6B-4D36-A928-ADCBC73ADFC8}"/>
            </c:ext>
          </c:extLst>
        </c:ser>
        <c:ser>
          <c:idx val="1"/>
          <c:order val="1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8558283155781997"/>
                  <c:y val="0.20928972835450782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n_G!$C$25:$C$33</c:f>
              <c:numCache>
                <c:formatCode>General</c:formatCode>
                <c:ptCount val="9"/>
                <c:pt idx="0">
                  <c:v>2.4E-2</c:v>
                </c:pt>
                <c:pt idx="1">
                  <c:v>2.1000000000000001E-2</c:v>
                </c:pt>
                <c:pt idx="2">
                  <c:v>1.7999999999999999E-2</c:v>
                </c:pt>
                <c:pt idx="3">
                  <c:v>1.0999999999999999E-2</c:v>
                </c:pt>
                <c:pt idx="4">
                  <c:v>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6B-4D36-A928-ADCBC73ADFC8}"/>
            </c:ext>
          </c:extLst>
        </c:ser>
        <c:ser>
          <c:idx val="2"/>
          <c:order val="2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7919252740466264"/>
                  <c:y val="0.27459435668700921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n_G!$D$25:$D$33</c:f>
              <c:numCache>
                <c:formatCode>General</c:formatCode>
                <c:ptCount val="9"/>
                <c:pt idx="0">
                  <c:v>4.5999999999999999E-2</c:v>
                </c:pt>
                <c:pt idx="1">
                  <c:v>4.2999999999999997E-2</c:v>
                </c:pt>
                <c:pt idx="2">
                  <c:v>4.1000000000000002E-2</c:v>
                </c:pt>
                <c:pt idx="3">
                  <c:v>3.3000000000000002E-2</c:v>
                </c:pt>
                <c:pt idx="4">
                  <c:v>1.4E-2</c:v>
                </c:pt>
                <c:pt idx="5">
                  <c:v>5.0000000000000001E-3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6B-4D36-A928-ADCBC73ADFC8}"/>
            </c:ext>
          </c:extLst>
        </c:ser>
        <c:ser>
          <c:idx val="3"/>
          <c:order val="3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2.6040812222186292E-3"/>
                  <c:y val="0.12221873660214784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n_G!$E$25:$E$33</c:f>
              <c:numCache>
                <c:formatCode>General</c:formatCode>
                <c:ptCount val="9"/>
                <c:pt idx="0">
                  <c:v>8.7999999999999995E-2</c:v>
                </c:pt>
                <c:pt idx="1">
                  <c:v>8.5000000000000006E-2</c:v>
                </c:pt>
                <c:pt idx="2">
                  <c:v>8.2000000000000003E-2</c:v>
                </c:pt>
                <c:pt idx="3">
                  <c:v>7.5999999999999998E-2</c:v>
                </c:pt>
                <c:pt idx="4">
                  <c:v>5.5E-2</c:v>
                </c:pt>
                <c:pt idx="5">
                  <c:v>3.7999999999999999E-2</c:v>
                </c:pt>
                <c:pt idx="6">
                  <c:v>2.4E-2</c:v>
                </c:pt>
                <c:pt idx="7">
                  <c:v>1.4E-2</c:v>
                </c:pt>
                <c:pt idx="8">
                  <c:v>6.0000000000000001E-3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D6B-4D36-A928-ADCBC73ADFC8}"/>
            </c:ext>
          </c:extLst>
        </c:ser>
        <c:ser>
          <c:idx val="4"/>
          <c:order val="4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40113908407189014"/>
                  <c:y val="0.32745218600662968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n_G!$F$25:$F$33</c:f>
              <c:numCache>
                <c:formatCode>General</c:formatCode>
                <c:ptCount val="9"/>
                <c:pt idx="0">
                  <c:v>0.13100000000000001</c:v>
                </c:pt>
                <c:pt idx="1">
                  <c:v>0.13</c:v>
                </c:pt>
                <c:pt idx="2">
                  <c:v>0.129</c:v>
                </c:pt>
                <c:pt idx="3">
                  <c:v>0.123</c:v>
                </c:pt>
                <c:pt idx="4">
                  <c:v>0.105</c:v>
                </c:pt>
                <c:pt idx="5">
                  <c:v>8.3000000000000004E-2</c:v>
                </c:pt>
                <c:pt idx="6">
                  <c:v>5.7000000000000002E-2</c:v>
                </c:pt>
                <c:pt idx="7">
                  <c:v>0.04</c:v>
                </c:pt>
                <c:pt idx="8">
                  <c:v>2.8000000000000001E-2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D6B-4D36-A928-ADCBC73ADFC8}"/>
            </c:ext>
          </c:extLst>
        </c:ser>
        <c:ser>
          <c:idx val="5"/>
          <c:order val="5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1966482799275758"/>
                  <c:y val="0.42143471329887444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n_G!$G$25:$G$33</c:f>
              <c:numCache>
                <c:formatCode>General</c:formatCode>
                <c:ptCount val="9"/>
                <c:pt idx="0">
                  <c:v>0.155</c:v>
                </c:pt>
                <c:pt idx="1">
                  <c:v>0.154</c:v>
                </c:pt>
                <c:pt idx="2">
                  <c:v>0.153</c:v>
                </c:pt>
                <c:pt idx="3">
                  <c:v>0.14599999999999999</c:v>
                </c:pt>
                <c:pt idx="4">
                  <c:v>0.13</c:v>
                </c:pt>
                <c:pt idx="5">
                  <c:v>0.11</c:v>
                </c:pt>
                <c:pt idx="6">
                  <c:v>7.6999999999999999E-2</c:v>
                </c:pt>
                <c:pt idx="7">
                  <c:v>5.6000000000000001E-2</c:v>
                </c:pt>
                <c:pt idx="8">
                  <c:v>4.1000000000000002E-2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D6B-4D36-A928-ADCBC73ADFC8}"/>
            </c:ext>
          </c:extLst>
        </c:ser>
        <c:ser>
          <c:idx val="6"/>
          <c:order val="6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3618386827207136"/>
                  <c:y val="0.37366878940929199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n_G!$H$25:$H$33</c:f>
              <c:numCache>
                <c:formatCode>General</c:formatCode>
                <c:ptCount val="9"/>
                <c:pt idx="0">
                  <c:v>0.254</c:v>
                </c:pt>
                <c:pt idx="1">
                  <c:v>0.253</c:v>
                </c:pt>
                <c:pt idx="2">
                  <c:v>0.253</c:v>
                </c:pt>
                <c:pt idx="3">
                  <c:v>0.245</c:v>
                </c:pt>
                <c:pt idx="4">
                  <c:v>0.22800000000000001</c:v>
                </c:pt>
                <c:pt idx="5">
                  <c:v>0.19500000000000001</c:v>
                </c:pt>
                <c:pt idx="6">
                  <c:v>0.14499999999999999</c:v>
                </c:pt>
                <c:pt idx="7">
                  <c:v>0.114</c:v>
                </c:pt>
                <c:pt idx="8">
                  <c:v>8.5999999999999993E-2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D6B-4D36-A928-ADCBC73ADFC8}"/>
            </c:ext>
          </c:extLst>
        </c:ser>
        <c:ser>
          <c:idx val="7"/>
          <c:order val="7"/>
          <c:marker>
            <c:symbol val="none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30621570031018852"/>
                  <c:y val="0.40559285917481175"/>
                </c:manualLayout>
              </c:layout>
              <c:numFmt formatCode="General" sourceLinked="0"/>
            </c:trendlineLbl>
          </c:trendline>
          <c:xVal>
            <c:numRef>
              <c:f>n_G!$A$25:$A$33</c:f>
              <c:numCache>
                <c:formatCode>General</c:formatCode>
                <c:ptCount val="9"/>
                <c:pt idx="0">
                  <c:v>0.01</c:v>
                </c:pt>
                <c:pt idx="1">
                  <c:v>2.0799999999999999E-2</c:v>
                </c:pt>
                <c:pt idx="2">
                  <c:v>2.92E-2</c:v>
                </c:pt>
                <c:pt idx="3">
                  <c:v>3.7499999999999999E-2</c:v>
                </c:pt>
                <c:pt idx="4">
                  <c:v>4.58E-2</c:v>
                </c:pt>
                <c:pt idx="5">
                  <c:v>5.4199999999999998E-2</c:v>
                </c:pt>
                <c:pt idx="6">
                  <c:v>6.25E-2</c:v>
                </c:pt>
                <c:pt idx="7">
                  <c:v>7.0800000000000002E-2</c:v>
                </c:pt>
                <c:pt idx="8">
                  <c:v>7.9200000000000007E-2</c:v>
                </c:pt>
              </c:numCache>
            </c:numRef>
          </c:xVal>
          <c:yVal>
            <c:numRef>
              <c:f>n_G!$I$25:$I$33</c:f>
              <c:numCache>
                <c:formatCode>General</c:formatCode>
                <c:ptCount val="9"/>
                <c:pt idx="0">
                  <c:v>0.42199999999999999</c:v>
                </c:pt>
                <c:pt idx="1">
                  <c:v>0.42099999999999999</c:v>
                </c:pt>
                <c:pt idx="2">
                  <c:v>0.42099999999999999</c:v>
                </c:pt>
                <c:pt idx="3">
                  <c:v>0.40500000000000003</c:v>
                </c:pt>
                <c:pt idx="4">
                  <c:v>0.38500000000000001</c:v>
                </c:pt>
                <c:pt idx="5">
                  <c:v>0.32500000000000001</c:v>
                </c:pt>
                <c:pt idx="6">
                  <c:v>0.23</c:v>
                </c:pt>
                <c:pt idx="7">
                  <c:v>0.183</c:v>
                </c:pt>
                <c:pt idx="8">
                  <c:v>0.14199999999999999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D6B-4D36-A928-ADCBC73A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520368"/>
        <c:axId val="454520760"/>
      </c:scatterChart>
      <c:valAx>
        <c:axId val="4545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520760"/>
        <c:crosses val="autoZero"/>
        <c:crossBetween val="midCat"/>
      </c:valAx>
      <c:valAx>
        <c:axId val="454520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4520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8470428696412949"/>
                  <c:y val="0.19764435695538057"/>
                </c:manualLayout>
              </c:layout>
              <c:numFmt formatCode="General" sourceLinked="0"/>
            </c:trendlineLbl>
          </c:trendline>
          <c:xVal>
            <c:numRef>
              <c:f>n_G!$B$47:$B$59</c:f>
              <c:numCache>
                <c:formatCode>General</c:formatCode>
                <c:ptCount val="13"/>
                <c:pt idx="0">
                  <c:v>0.17299999999999999</c:v>
                </c:pt>
                <c:pt idx="1">
                  <c:v>0.2</c:v>
                </c:pt>
                <c:pt idx="2">
                  <c:v>0.25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0.45</c:v>
                </c:pt>
                <c:pt idx="7">
                  <c:v>0.5</c:v>
                </c:pt>
                <c:pt idx="8">
                  <c:v>0.55000000000000004</c:v>
                </c:pt>
                <c:pt idx="9">
                  <c:v>0.6</c:v>
                </c:pt>
                <c:pt idx="10">
                  <c:v>0.65</c:v>
                </c:pt>
                <c:pt idx="11">
                  <c:v>0.7</c:v>
                </c:pt>
                <c:pt idx="12">
                  <c:v>0.75</c:v>
                </c:pt>
              </c:numCache>
            </c:numRef>
          </c:xVal>
          <c:yVal>
            <c:numRef>
              <c:f>n_G!$C$47:$C$59</c:f>
              <c:numCache>
                <c:formatCode>General</c:formatCode>
                <c:ptCount val="13"/>
                <c:pt idx="0">
                  <c:v>0.32</c:v>
                </c:pt>
                <c:pt idx="1">
                  <c:v>0.23</c:v>
                </c:pt>
                <c:pt idx="2">
                  <c:v>0.14499999999999999</c:v>
                </c:pt>
                <c:pt idx="3">
                  <c:v>9.7000000000000003E-2</c:v>
                </c:pt>
                <c:pt idx="4">
                  <c:v>6.7000000000000004E-2</c:v>
                </c:pt>
                <c:pt idx="5">
                  <c:v>4.8000000000000001E-2</c:v>
                </c:pt>
                <c:pt idx="6">
                  <c:v>3.3000000000000002E-2</c:v>
                </c:pt>
                <c:pt idx="7">
                  <c:v>2.3E-2</c:v>
                </c:pt>
                <c:pt idx="8">
                  <c:v>1.4999999999999999E-2</c:v>
                </c:pt>
                <c:pt idx="9">
                  <c:v>8.9999999999999993E-3</c:v>
                </c:pt>
                <c:pt idx="10">
                  <c:v>5.0000000000000001E-3</c:v>
                </c:pt>
                <c:pt idx="11">
                  <c:v>2E-3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39-411B-8E49-5CE346AE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377288"/>
        <c:axId val="455372584"/>
      </c:scatterChart>
      <c:valAx>
        <c:axId val="455377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5372584"/>
        <c:crosses val="autoZero"/>
        <c:crossBetween val="midCat"/>
      </c:valAx>
      <c:valAx>
        <c:axId val="455372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5377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324606</xdr:colOff>
      <xdr:row>34</xdr:row>
      <xdr:rowOff>177800</xdr:rowOff>
    </xdr:from>
    <xdr:to>
      <xdr:col>7</xdr:col>
      <xdr:colOff>2812606</xdr:colOff>
      <xdr:row>38</xdr:row>
      <xdr:rowOff>10733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856" y="6972300"/>
          <a:ext cx="3857074" cy="63726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736298</xdr:colOff>
      <xdr:row>35</xdr:row>
      <xdr:rowOff>20715</xdr:rowOff>
    </xdr:from>
    <xdr:to>
      <xdr:col>13</xdr:col>
      <xdr:colOff>318259</xdr:colOff>
      <xdr:row>37</xdr:row>
      <xdr:rowOff>177197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4381" y="7016298"/>
          <a:ext cx="1561043" cy="558649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891949</xdr:colOff>
      <xdr:row>35</xdr:row>
      <xdr:rowOff>117700</xdr:rowOff>
    </xdr:from>
    <xdr:to>
      <xdr:col>10</xdr:col>
      <xdr:colOff>476253</xdr:colOff>
      <xdr:row>37</xdr:row>
      <xdr:rowOff>119060</xdr:rowOff>
    </xdr:to>
    <xdr:sp macro="" textlink="">
      <xdr:nvSpPr>
        <xdr:cNvPr id="4" name="Freccia in gi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9956688" y="5721461"/>
          <a:ext cx="409575" cy="49598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32657</xdr:colOff>
      <xdr:row>63</xdr:row>
      <xdr:rowOff>57151</xdr:rowOff>
    </xdr:from>
    <xdr:to>
      <xdr:col>13</xdr:col>
      <xdr:colOff>518435</xdr:colOff>
      <xdr:row>67</xdr:row>
      <xdr:rowOff>23136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7157" y="12861472"/>
          <a:ext cx="1710420" cy="76880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135021</xdr:colOff>
      <xdr:row>71</xdr:row>
      <xdr:rowOff>95140</xdr:rowOff>
    </xdr:from>
    <xdr:to>
      <xdr:col>22</xdr:col>
      <xdr:colOff>278855</xdr:colOff>
      <xdr:row>79</xdr:row>
      <xdr:rowOff>121477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5256" y="14606758"/>
          <a:ext cx="3326305" cy="1617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245692</xdr:colOff>
      <xdr:row>92</xdr:row>
      <xdr:rowOff>25648</xdr:rowOff>
    </xdr:from>
    <xdr:to>
      <xdr:col>23</xdr:col>
      <xdr:colOff>516829</xdr:colOff>
      <xdr:row>116</xdr:row>
      <xdr:rowOff>120827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3133" y="19445442"/>
          <a:ext cx="5571520" cy="5317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27213</xdr:colOff>
      <xdr:row>39</xdr:row>
      <xdr:rowOff>136067</xdr:rowOff>
    </xdr:from>
    <xdr:to>
      <xdr:col>20</xdr:col>
      <xdr:colOff>340178</xdr:colOff>
      <xdr:row>42</xdr:row>
      <xdr:rowOff>142736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asellaDiTesto 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3171713" y="8000996"/>
              <a:ext cx="7184572" cy="64620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f>
                    <m:fPr>
                      <m:ctrlPr>
                        <a:rPr lang="en-GB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B</m:t>
                      </m:r>
                    </m:den>
                  </m:f>
                  <m:r>
                    <a:rPr lang="it-IT" sz="2000" b="0" i="1"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B</m:t>
                      </m:r>
                      <m:r>
                        <a:rPr lang="it-IT" sz="2000" b="0" i="0" baseline="-25000">
                          <a:latin typeface="Cambria Math" panose="02040503050406030204" pitchFamily="18" charset="0"/>
                        </a:rPr>
                        <m:t>0</m:t>
                      </m:r>
                    </m:den>
                  </m:f>
                </m:oMath>
              </a14:m>
              <a:r>
                <a:rPr lang="en-GB" sz="2000">
                  <a:latin typeface="+mn-lt"/>
                </a:rPr>
                <a:t> + </a:t>
              </a:r>
              <a14:m>
                <m:oMath xmlns:m="http://schemas.openxmlformats.org/officeDocument/2006/math">
                  <m:f>
                    <m:fPr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2000" i="1">
                          <a:latin typeface="Cambria Math" panose="02040503050406030204" pitchFamily="18" charset="0"/>
                        </a:rPr>
                        <m:t>1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,1</m:t>
                      </m:r>
                    </m:num>
                    <m:den>
                      <m:r>
                        <m:rPr>
                          <m:sty m:val="p"/>
                        </m:rPr>
                        <a:rPr lang="el-GR" sz="2000" i="1">
                          <a:latin typeface="Cambria Math" panose="02040503050406030204" pitchFamily="18" charset="0"/>
                        </a:rPr>
                        <m:t>π</m:t>
                      </m:r>
                    </m:den>
                  </m:f>
                  <m:r>
                    <a:rPr lang="it-IT" sz="2000" b="0" i="1">
                      <a:latin typeface="Cambria Math" panose="02040503050406030204" pitchFamily="18" charset="0"/>
                    </a:rPr>
                    <m:t>∗</m:t>
                  </m:r>
                  <m:nary>
                    <m:naryPr>
                      <m:chr m:val="∏"/>
                      <m:supHide m:val="on"/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it-IT" sz="2000" i="1">
                          <a:latin typeface="Cambria Math" panose="02040503050406030204" pitchFamily="18" charset="0"/>
                        </a:rPr>
                        <m:t>𝑖</m:t>
                      </m:r>
                    </m:sub>
                    <m:sup/>
                    <m:e>
                      <m:d>
                        <m:d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it-IT" sz="200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sSub>
                                <m:sSubPr>
                                  <m:ctrlP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𝑎</m:t>
                                  </m:r>
                                </m:e>
                                <m:sub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𝑖</m:t>
                                  </m:r>
                                </m:sub>
                              </m:sSub>
                            </m:e>
                            <m:sup>
                              <m:sSub>
                                <m:sSubPr>
                                  <m:ctrlP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𝑚</m:t>
                                  </m:r>
                                </m:e>
                                <m:sub>
                                  <m:r>
                                    <a:rPr lang="it-IT" sz="2000" i="1">
                                      <a:latin typeface="Cambria Math" panose="02040503050406030204" pitchFamily="18" charset="0"/>
                                    </a:rPr>
                                    <m:t>𝑖</m:t>
                                  </m:r>
                                </m:sub>
                              </m:sSub>
                            </m:sup>
                          </m:sSup>
                        </m:e>
                      </m:d>
                      <m:r>
                        <a:rPr lang="it-IT" sz="2000" b="0" i="1">
                          <a:latin typeface="Cambria Math" panose="02040503050406030204" pitchFamily="18" charset="0"/>
                        </a:rPr>
                        <m:t>∗</m:t>
                      </m:r>
                      <m:r>
                        <m:rPr>
                          <m:sty m:val="p"/>
                        </m:rPr>
                        <a:rPr lang="it-IT" sz="2000" b="0" i="0">
                          <a:latin typeface="Cambria Math" panose="02040503050406030204" pitchFamily="18" charset="0"/>
                        </a:rPr>
                        <m:t>T</m:t>
                      </m:r>
                    </m:e>
                  </m:nary>
                  <m:r>
                    <a:rPr lang="it-IT" sz="2000" b="0" i="1">
                      <a:latin typeface="Cambria Math" panose="02040503050406030204" pitchFamily="18" charset="0"/>
                    </a:rPr>
                    <m:t>∗</m:t>
                  </m:r>
                  <m:d>
                    <m:dPr>
                      <m:begChr m:val="["/>
                      <m:endChr m:val="]"/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it-IT" sz="20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num>
                        <m:den>
                          <m:r>
                            <a:rPr lang="it-IT" sz="2000" b="0" i="0">
                              <a:latin typeface="Cambria Math" panose="02040503050406030204" pitchFamily="18" charset="0"/>
                            </a:rPr>
                            <m:t>2</m:t>
                          </m:r>
                          <m:r>
                            <m:rPr>
                              <m:sty m:val="p"/>
                            </m:rPr>
                            <a:rPr lang="el-GR" sz="2000" b="0" i="0">
                              <a:latin typeface="Cambria Math" panose="02040503050406030204" pitchFamily="18" charset="0"/>
                            </a:rPr>
                            <m:t>λ</m:t>
                          </m:r>
                          <m:r>
                            <m:rPr>
                              <m:sty m:val="p"/>
                            </m:rPr>
                            <a:rPr lang="it-IT" sz="2000" b="0" i="0" baseline="-25000">
                              <a:latin typeface="Cambria Math" panose="02040503050406030204" pitchFamily="18" charset="0"/>
                            </a:rPr>
                            <m:t>R</m:t>
                          </m:r>
                        </m:den>
                      </m:f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𝑙𝑛</m:t>
                      </m:r>
                      <m:f>
                        <m:fPr>
                          <m:ctrlPr>
                            <a:rPr lang="it-IT" sz="20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b="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b="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  <m:r>
                            <a:rPr lang="it-IT" sz="2000" b="0" i="1">
                              <a:latin typeface="Cambria Math" panose="02040503050406030204" pitchFamily="18" charset="0"/>
                            </a:rPr>
                            <m:t>−2</m:t>
                          </m:r>
                          <m:sSub>
                            <m:sSubPr>
                              <m:ctrlPr>
                                <a:rPr lang="it-IT" sz="20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e>
                            <m:sub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</m:sub>
                          </m:sSub>
                        </m:den>
                      </m:f>
                      <m:r>
                        <a:rPr lang="it-IT" sz="2000" b="0" i="1">
                          <a:latin typeface="Cambria Math" panose="02040503050406030204" pitchFamily="18" charset="0"/>
                        </a:rPr>
                        <m:t>−</m:t>
                      </m:r>
                      <m:f>
                        <m:f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1</m:t>
                          </m:r>
                        </m:num>
                        <m:den>
                          <m:r>
                            <a:rPr lang="it-IT" sz="2000">
                              <a:latin typeface="Cambria Math" panose="02040503050406030204" pitchFamily="18" charset="0"/>
                            </a:rPr>
                            <m:t>2</m:t>
                          </m:r>
                          <m:r>
                            <m:rPr>
                              <m:sty m:val="p"/>
                            </m:rPr>
                            <a:rPr lang="el-GR" sz="2000">
                              <a:latin typeface="Cambria Math" panose="02040503050406030204" pitchFamily="18" charset="0"/>
                            </a:rPr>
                            <m:t>λ</m:t>
                          </m:r>
                          <m:r>
                            <m:rPr>
                              <m:sty m:val="p"/>
                            </m:rPr>
                            <a:rPr lang="it-IT" sz="2000" baseline="-25000">
                              <a:latin typeface="Cambria Math" panose="02040503050406030204" pitchFamily="18" charset="0"/>
                            </a:rPr>
                            <m:t>R</m:t>
                          </m:r>
                          <m:r>
                            <a:rPr lang="it-IT" sz="2000" b="0" i="0" baseline="-25000">
                              <a:latin typeface="Cambria Math" panose="02040503050406030204" pitchFamily="18" charset="0"/>
                            </a:rPr>
                            <m:t>,0</m:t>
                          </m:r>
                        </m:den>
                      </m:f>
                      <m:r>
                        <a:rPr lang="it-IT" sz="2000" i="1">
                          <a:latin typeface="Cambria Math" panose="02040503050406030204" pitchFamily="18" charset="0"/>
                        </a:rPr>
                        <m:t>𝑙𝑛</m:t>
                      </m:r>
                      <m:f>
                        <m:fPr>
                          <m:ctrlPr>
                            <a:rPr lang="it-IT" sz="20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𝑑</m:t>
                          </m:r>
                          <m:r>
                            <a:rPr lang="it-IT" sz="2000" i="1" baseline="-25000">
                              <a:latin typeface="Cambria Math" panose="02040503050406030204" pitchFamily="18" charset="0"/>
                            </a:rPr>
                            <m:t>𝑎</m:t>
                          </m:r>
                          <m:r>
                            <a:rPr lang="it-IT" sz="2000" i="1">
                              <a:latin typeface="Cambria Math" panose="02040503050406030204" pitchFamily="18" charset="0"/>
                            </a:rPr>
                            <m:t>−2</m:t>
                          </m:r>
                          <m:sSub>
                            <m:sSubPr>
                              <m:ctrlPr>
                                <a:rPr lang="it-IT" sz="20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e>
                            <m:sub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𝑅</m:t>
                              </m:r>
                              <m:r>
                                <a:rPr lang="it-IT" sz="2000" b="0" i="1">
                                  <a:latin typeface="Cambria Math" panose="02040503050406030204" pitchFamily="18" charset="0"/>
                                </a:rPr>
                                <m:t>,0</m:t>
                              </m:r>
                            </m:sub>
                          </m:sSub>
                        </m:den>
                      </m:f>
                      <m:r>
                        <a:rPr lang="it-IT" sz="2000" i="1">
                          <a:latin typeface="Cambria Math" panose="02040503050406030204" pitchFamily="18" charset="0"/>
                        </a:rPr>
                        <m:t>−</m:t>
                      </m:r>
                    </m:e>
                  </m:d>
                </m:oMath>
              </a14:m>
              <a:endParaRPr lang="en-GB" sz="2000">
                <a:latin typeface="+mn-lt"/>
              </a:endParaRPr>
            </a:p>
          </xdr:txBody>
        </xdr:sp>
      </mc:Choice>
      <mc:Fallback xmlns="">
        <xdr:sp macro="" textlink="">
          <xdr:nvSpPr>
            <xdr:cNvPr id="15" name="CasellaDiTesto 5">
              <a:extLst>
                <a:ext uri="{FF2B5EF4-FFF2-40B4-BE49-F238E27FC236}">
                  <a16:creationId xmlns:a16="http://schemas.microsoft.com/office/drawing/2014/main" xmlns:a14="http://schemas.microsoft.com/office/drawing/2010/main" xmlns="" id="{DB30D97E-3166-41A1-AA28-2795CF8B1793}"/>
                </a:ext>
              </a:extLst>
            </xdr:cNvPr>
            <xdr:cNvSpPr txBox="1"/>
          </xdr:nvSpPr>
          <xdr:spPr>
            <a:xfrm>
              <a:off x="13171713" y="8000996"/>
              <a:ext cx="7184572" cy="64620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2000" b="0" i="0">
                  <a:latin typeface="Cambria Math" panose="02040503050406030204" pitchFamily="18" charset="0"/>
                </a:rPr>
                <a:t>1</a:t>
              </a:r>
              <a:r>
                <a:rPr lang="en-GB" sz="2000" b="0" i="0">
                  <a:latin typeface="Cambria Math" panose="02040503050406030204" pitchFamily="18" charset="0"/>
                </a:rPr>
                <a:t>/</a:t>
              </a:r>
              <a:r>
                <a:rPr lang="it-IT" sz="2000" b="0" i="0">
                  <a:latin typeface="Cambria Math" panose="02040503050406030204" pitchFamily="18" charset="0"/>
                </a:rPr>
                <a:t>B=  1/B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0</a:t>
              </a:r>
              <a:r>
                <a:rPr lang="en-GB" sz="2000">
                  <a:latin typeface="+mn-lt"/>
                </a:rPr>
                <a:t> + </a:t>
              </a:r>
              <a:r>
                <a:rPr lang="it-IT" sz="2000" i="0">
                  <a:latin typeface="Cambria Math" panose="02040503050406030204" pitchFamily="18" charset="0"/>
                </a:rPr>
                <a:t>1</a:t>
              </a:r>
              <a:r>
                <a:rPr lang="it-IT" sz="2000" b="0" i="0">
                  <a:latin typeface="Cambria Math" panose="02040503050406030204" pitchFamily="18" charset="0"/>
                </a:rPr>
                <a:t>,1/</a:t>
              </a:r>
              <a:r>
                <a:rPr lang="el-GR" sz="2000" i="0">
                  <a:latin typeface="Cambria Math" panose="02040503050406030204" pitchFamily="18" charset="0"/>
                </a:rPr>
                <a:t>π</a:t>
              </a:r>
              <a:r>
                <a:rPr lang="it-IT" sz="2000" b="0" i="0">
                  <a:latin typeface="Cambria Math" panose="02040503050406030204" pitchFamily="18" charset="0"/>
                </a:rPr>
                <a:t>∗</a:t>
              </a:r>
              <a:r>
                <a:rPr lang="it-IT" sz="2000" i="0">
                  <a:latin typeface="Cambria Math" panose="02040503050406030204" pitchFamily="18" charset="0"/>
                </a:rPr>
                <a:t>∏_𝑖</a:t>
              </a:r>
              <a:r>
                <a:rPr lang="it-IT" sz="2000" b="0" i="0">
                  <a:latin typeface="Cambria Math" panose="02040503050406030204" pitchFamily="18" charset="0"/>
                </a:rPr>
                <a:t>▒〖(〖</a:t>
              </a:r>
              <a:r>
                <a:rPr lang="it-IT" sz="2000" i="0">
                  <a:latin typeface="Cambria Math" panose="02040503050406030204" pitchFamily="18" charset="0"/>
                </a:rPr>
                <a:t>𝑎_𝑖〗^(𝑚_𝑖 ) )</a:t>
              </a:r>
              <a:r>
                <a:rPr lang="it-IT" sz="2000" b="0" i="0">
                  <a:latin typeface="Cambria Math" panose="02040503050406030204" pitchFamily="18" charset="0"/>
                </a:rPr>
                <a:t>∗T〗∗[1/2</a:t>
              </a:r>
              <a:r>
                <a:rPr lang="el-GR" sz="2000" b="0" i="0">
                  <a:latin typeface="Cambria Math" panose="02040503050406030204" pitchFamily="18" charset="0"/>
                </a:rPr>
                <a:t>λ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R </a:t>
              </a:r>
              <a:r>
                <a:rPr lang="it-IT" sz="2000" b="0" i="0">
                  <a:latin typeface="Cambria Math" panose="02040503050406030204" pitchFamily="18" charset="0"/>
                </a:rPr>
                <a:t>𝑙𝑛 𝑑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𝑎/(</a:t>
              </a:r>
              <a:r>
                <a:rPr lang="it-IT" sz="2000" b="0" i="0">
                  <a:latin typeface="Cambria Math" panose="02040503050406030204" pitchFamily="18" charset="0"/>
                </a:rPr>
                <a:t>𝑑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𝑎</a:t>
              </a:r>
              <a:r>
                <a:rPr lang="it-IT" sz="2000" b="0" i="0">
                  <a:latin typeface="Cambria Math" panose="02040503050406030204" pitchFamily="18" charset="0"/>
                </a:rPr>
                <a:t>−2𝑠_𝑅 )−</a:t>
              </a:r>
              <a:r>
                <a:rPr lang="it-IT" sz="2000" i="0">
                  <a:latin typeface="Cambria Math" panose="02040503050406030204" pitchFamily="18" charset="0"/>
                </a:rPr>
                <a:t>1/(2</a:t>
              </a:r>
              <a:r>
                <a:rPr lang="el-GR" sz="2000" i="0">
                  <a:latin typeface="Cambria Math" panose="02040503050406030204" pitchFamily="18" charset="0"/>
                </a:rPr>
                <a:t>λ</a:t>
              </a:r>
              <a:r>
                <a:rPr lang="it-IT" sz="2000" i="0" baseline="-25000">
                  <a:latin typeface="Cambria Math" panose="02040503050406030204" pitchFamily="18" charset="0"/>
                </a:rPr>
                <a:t>R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,0) </a:t>
              </a:r>
              <a:r>
                <a:rPr lang="it-IT" sz="2000" i="0">
                  <a:latin typeface="Cambria Math" panose="02040503050406030204" pitchFamily="18" charset="0"/>
                </a:rPr>
                <a:t>𝑙𝑛 𝑑</a:t>
              </a:r>
              <a:r>
                <a:rPr lang="it-IT" sz="2000" i="0" baseline="-25000">
                  <a:latin typeface="Cambria Math" panose="02040503050406030204" pitchFamily="18" charset="0"/>
                </a:rPr>
                <a:t>𝑎/(</a:t>
              </a:r>
              <a:r>
                <a:rPr lang="it-IT" sz="2000" i="0">
                  <a:latin typeface="Cambria Math" panose="02040503050406030204" pitchFamily="18" charset="0"/>
                </a:rPr>
                <a:t>𝑑</a:t>
              </a:r>
              <a:r>
                <a:rPr lang="it-IT" sz="2000" i="0" baseline="-25000">
                  <a:latin typeface="Cambria Math" panose="02040503050406030204" pitchFamily="18" charset="0"/>
                </a:rPr>
                <a:t>𝑎</a:t>
              </a:r>
              <a:r>
                <a:rPr lang="it-IT" sz="2000" i="0">
                  <a:latin typeface="Cambria Math" panose="02040503050406030204" pitchFamily="18" charset="0"/>
                </a:rPr>
                <a:t>−2</a:t>
              </a:r>
              <a:r>
                <a:rPr lang="it-IT" sz="2000" b="0" i="0">
                  <a:latin typeface="Cambria Math" panose="02040503050406030204" pitchFamily="18" charset="0"/>
                </a:rPr>
                <a:t>𝑠_(𝑅,0) )</a:t>
              </a:r>
              <a:r>
                <a:rPr lang="it-IT" sz="2000" i="0">
                  <a:latin typeface="Cambria Math" panose="02040503050406030204" pitchFamily="18" charset="0"/>
                </a:rPr>
                <a:t>−]</a:t>
              </a:r>
              <a:endParaRPr lang="en-GB" sz="20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9</xdr:col>
      <xdr:colOff>329049</xdr:colOff>
      <xdr:row>40</xdr:row>
      <xdr:rowOff>27215</xdr:rowOff>
    </xdr:from>
    <xdr:to>
      <xdr:col>10</xdr:col>
      <xdr:colOff>530682</xdr:colOff>
      <xdr:row>42</xdr:row>
      <xdr:rowOff>1362</xdr:rowOff>
    </xdr:to>
    <xdr:sp macro="" textlink="">
      <xdr:nvSpPr>
        <xdr:cNvPr id="16" name="Freccia in gi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6200000">
          <a:off x="12115247" y="7879835"/>
          <a:ext cx="424420" cy="110217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32162</xdr:colOff>
      <xdr:row>44</xdr:row>
      <xdr:rowOff>26870</xdr:rowOff>
    </xdr:from>
    <xdr:to>
      <xdr:col>15</xdr:col>
      <xdr:colOff>61730</xdr:colOff>
      <xdr:row>51</xdr:row>
      <xdr:rowOff>161266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662" y="8939549"/>
          <a:ext cx="2478854" cy="1576753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88572</xdr:colOff>
      <xdr:row>44</xdr:row>
      <xdr:rowOff>27213</xdr:rowOff>
    </xdr:from>
    <xdr:to>
      <xdr:col>22</xdr:col>
      <xdr:colOff>469320</xdr:colOff>
      <xdr:row>55</xdr:row>
      <xdr:rowOff>67846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63"/>
        <a:stretch/>
      </xdr:blipFill>
      <xdr:spPr bwMode="auto">
        <a:xfrm>
          <a:off x="15682358" y="8939892"/>
          <a:ext cx="6408712" cy="2299418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249283</xdr:colOff>
      <xdr:row>79</xdr:row>
      <xdr:rowOff>162996</xdr:rowOff>
    </xdr:from>
    <xdr:to>
      <xdr:col>24</xdr:col>
      <xdr:colOff>32365</xdr:colOff>
      <xdr:row>91</xdr:row>
      <xdr:rowOff>181848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6724" y="16265849"/>
          <a:ext cx="5688582" cy="3030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326571</xdr:colOff>
      <xdr:row>0</xdr:row>
      <xdr:rowOff>149679</xdr:rowOff>
    </xdr:from>
    <xdr:to>
      <xdr:col>8</xdr:col>
      <xdr:colOff>392866</xdr:colOff>
      <xdr:row>13</xdr:row>
      <xdr:rowOff>125504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8" y="149679"/>
          <a:ext cx="2802133" cy="253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115173</xdr:colOff>
      <xdr:row>30</xdr:row>
      <xdr:rowOff>201081</xdr:rowOff>
    </xdr:from>
    <xdr:to>
      <xdr:col>14</xdr:col>
      <xdr:colOff>74707</xdr:colOff>
      <xdr:row>34</xdr:row>
      <xdr:rowOff>52292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014144" y="6397934"/>
          <a:ext cx="3433357" cy="658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Si può riscrivere</a:t>
          </a:r>
          <a:r>
            <a:rPr lang="en-US" sz="1100" baseline="0"/>
            <a:t> come segue con K</a:t>
          </a:r>
          <a:r>
            <a:rPr lang="en-US" sz="1100" baseline="-25000"/>
            <a:t>H</a:t>
          </a:r>
          <a:r>
            <a:rPr lang="en-US" sz="1100" baseline="0"/>
            <a:t> definito come coefficiente di trasmissione di calore equivalente</a:t>
          </a:r>
          <a:endParaRPr lang="en-US" sz="1100"/>
        </a:p>
      </xdr:txBody>
    </xdr:sp>
    <xdr:clientData/>
  </xdr:twoCellAnchor>
  <xdr:twoCellAnchor>
    <xdr:from>
      <xdr:col>4</xdr:col>
      <xdr:colOff>755876</xdr:colOff>
      <xdr:row>15</xdr:row>
      <xdr:rowOff>117700</xdr:rowOff>
    </xdr:from>
    <xdr:to>
      <xdr:col>6</xdr:col>
      <xdr:colOff>557892</xdr:colOff>
      <xdr:row>17</xdr:row>
      <xdr:rowOff>105452</xdr:rowOff>
    </xdr:to>
    <xdr:sp macro="" textlink="">
      <xdr:nvSpPr>
        <xdr:cNvPr id="22" name="Freccia in gi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5400000">
          <a:off x="8133330" y="2619032"/>
          <a:ext cx="409574" cy="133962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952500</xdr:colOff>
      <xdr:row>42</xdr:row>
      <xdr:rowOff>122465</xdr:rowOff>
    </xdr:from>
    <xdr:to>
      <xdr:col>11</xdr:col>
      <xdr:colOff>32162</xdr:colOff>
      <xdr:row>47</xdr:row>
      <xdr:rowOff>202926</xdr:rowOff>
    </xdr:to>
    <xdr:cxnSp macro="">
      <xdr:nvCxnSpPr>
        <xdr:cNvPr id="10" name="Connettore 2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endCxn id="18" idx="1"/>
        </xdr:cNvCxnSpPr>
      </xdr:nvCxnSpPr>
      <xdr:spPr>
        <a:xfrm>
          <a:off x="6490607" y="8626929"/>
          <a:ext cx="6686055" cy="11009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1034143</xdr:colOff>
      <xdr:row>44</xdr:row>
      <xdr:rowOff>136071</xdr:rowOff>
    </xdr:from>
    <xdr:to>
      <xdr:col>11</xdr:col>
      <xdr:colOff>13607</xdr:colOff>
      <xdr:row>59</xdr:row>
      <xdr:rowOff>182783</xdr:rowOff>
    </xdr:to>
    <xdr:cxnSp macro="">
      <xdr:nvCxnSpPr>
        <xdr:cNvPr id="29" name="Connettore 2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endCxn id="30" idx="1"/>
        </xdr:cNvCxnSpPr>
      </xdr:nvCxnSpPr>
      <xdr:spPr>
        <a:xfrm>
          <a:off x="6572250" y="9048750"/>
          <a:ext cx="6585857" cy="31355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13607</xdr:colOff>
      <xdr:row>58</xdr:row>
      <xdr:rowOff>40822</xdr:rowOff>
    </xdr:from>
    <xdr:to>
      <xdr:col>14</xdr:col>
      <xdr:colOff>163724</xdr:colOff>
      <xdr:row>61</xdr:row>
      <xdr:rowOff>120637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8107" y="11838215"/>
          <a:ext cx="1987081" cy="692136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3</xdr:col>
      <xdr:colOff>1131794</xdr:colOff>
      <xdr:row>46</xdr:row>
      <xdr:rowOff>100853</xdr:rowOff>
    </xdr:from>
    <xdr:to>
      <xdr:col>11</xdr:col>
      <xdr:colOff>33617</xdr:colOff>
      <xdr:row>70</xdr:row>
      <xdr:rowOff>134752</xdr:rowOff>
    </xdr:to>
    <xdr:cxnSp macro="">
      <xdr:nvCxnSpPr>
        <xdr:cNvPr id="33" name="Connettore 2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endCxn id="34" idx="1"/>
        </xdr:cNvCxnSpPr>
      </xdr:nvCxnSpPr>
      <xdr:spPr>
        <a:xfrm>
          <a:off x="6667500" y="9379324"/>
          <a:ext cx="6465793" cy="488604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33617</xdr:colOff>
      <xdr:row>69</xdr:row>
      <xdr:rowOff>78442</xdr:rowOff>
    </xdr:from>
    <xdr:to>
      <xdr:col>14</xdr:col>
      <xdr:colOff>138392</xdr:colOff>
      <xdr:row>72</xdr:row>
      <xdr:rowOff>11767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3293" y="14007354"/>
          <a:ext cx="1920128" cy="516031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74</xdr:row>
      <xdr:rowOff>44824</xdr:rowOff>
    </xdr:from>
    <xdr:to>
      <xdr:col>14</xdr:col>
      <xdr:colOff>176493</xdr:colOff>
      <xdr:row>76</xdr:row>
      <xdr:rowOff>125506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3294" y="14971059"/>
          <a:ext cx="1958228" cy="4953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1149723</xdr:colOff>
      <xdr:row>48</xdr:row>
      <xdr:rowOff>73960</xdr:rowOff>
    </xdr:from>
    <xdr:to>
      <xdr:col>11</xdr:col>
      <xdr:colOff>33618</xdr:colOff>
      <xdr:row>75</xdr:row>
      <xdr:rowOff>101974</xdr:rowOff>
    </xdr:to>
    <xdr:cxnSp macro="">
      <xdr:nvCxnSpPr>
        <xdr:cNvPr id="38" name="Connettore 2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endCxn id="37" idx="1"/>
        </xdr:cNvCxnSpPr>
      </xdr:nvCxnSpPr>
      <xdr:spPr>
        <a:xfrm>
          <a:off x="6685429" y="9755842"/>
          <a:ext cx="6447865" cy="54628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156882</xdr:colOff>
      <xdr:row>31</xdr:row>
      <xdr:rowOff>0</xdr:rowOff>
    </xdr:from>
    <xdr:to>
      <xdr:col>18</xdr:col>
      <xdr:colOff>183651</xdr:colOff>
      <xdr:row>34</xdr:row>
      <xdr:rowOff>52917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4529676" y="6398559"/>
          <a:ext cx="3433357" cy="658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q can be written as follows, as function of K</a:t>
          </a:r>
          <a:r>
            <a:rPr lang="en-US" sz="1100" baseline="-25000"/>
            <a:t>H</a:t>
          </a:r>
          <a:r>
            <a:rPr lang="en-US" sz="1100" baseline="0"/>
            <a:t> defined as equivalent heat transfer coefficient</a:t>
          </a:r>
          <a:endParaRPr lang="en-US" sz="1100"/>
        </a:p>
      </xdr:txBody>
    </xdr:sp>
    <xdr:clientData/>
  </xdr:twoCellAnchor>
  <xdr:twoCellAnchor>
    <xdr:from>
      <xdr:col>24</xdr:col>
      <xdr:colOff>347383</xdr:colOff>
      <xdr:row>79</xdr:row>
      <xdr:rowOff>179294</xdr:rowOff>
    </xdr:from>
    <xdr:to>
      <xdr:col>33</xdr:col>
      <xdr:colOff>100854</xdr:colOff>
      <xdr:row>91</xdr:row>
      <xdr:rowOff>280147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6430324" y="16282147"/>
              <a:ext cx="5199530" cy="303679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GENERAL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EQUATION</a:t>
              </a:r>
            </a:p>
            <a:p>
              <a:r>
                <a:rPr lang="it-IT" sz="1300" baseline="0">
                  <a:latin typeface="+mj-lt"/>
                </a:rPr>
                <a:t>Continuous pressure drops canbe calculated with the following formula: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14:m>
                <m:oMath xmlns:m="http://schemas.openxmlformats.org/officeDocument/2006/math">
                  <m:r>
                    <a:rPr lang="it-IT" sz="1300" b="0" i="1" baseline="0">
                      <a:latin typeface="Cambria Math" panose="02040503050406030204" pitchFamily="18" charset="0"/>
                    </a:rPr>
                    <m:t>𝑟</m:t>
                  </m:r>
                  <m:r>
                    <a:rPr lang="it-IT" sz="1300" b="0" i="1" baseline="0">
                      <a:latin typeface="Cambria Math" panose="02040503050406030204" pitchFamily="18" charset="0"/>
                    </a:rPr>
                    <m:t>= </m:t>
                  </m:r>
                  <m:sSub>
                    <m:sSubPr>
                      <m:ctrlPr>
                        <a:rPr lang="it-IT" sz="13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 </m:t>
                  </m:r>
                  <m:f>
                    <m:f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𝐷</m:t>
                      </m:r>
                    </m:den>
                  </m:f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∙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𝜌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f>
                    <m:f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p>
                        <m:sSupPr>
                          <m:ctrlP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𝑣</m:t>
                          </m:r>
                        </m:e>
                        <m:sup>
                          <m:r>
                            <a:rPr lang="it-IT" sz="13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it-IT" sz="1300" baseline="0">
                  <a:latin typeface="+mj-lt"/>
                </a:rPr>
                <a:t>                           Eq 1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where r   = specific pressure drop , Pa/m</a:t>
              </a:r>
            </a:p>
            <a:p>
              <a:r>
                <a:rPr lang="it-IT" sz="1300" baseline="0">
                  <a:latin typeface="+mj-lt"/>
                </a:rPr>
                <a:t>            Fa = Friction coefficient, non-dimensional</a:t>
              </a:r>
            </a:p>
            <a:p>
              <a:r>
                <a:rPr lang="it-IT" sz="1300" baseline="0">
                  <a:latin typeface="+mj-lt"/>
                </a:rPr>
                <a:t>            D  = internal diamter of the pipe , m</a:t>
              </a:r>
            </a:p>
            <a:p>
              <a:r>
                <a:rPr lang="it-IT" sz="1300" baseline="0">
                  <a:latin typeface="+mj-lt"/>
                </a:rPr>
                <a:t>            </a:t>
              </a:r>
              <a:r>
                <a:rPr lang="el-GR" sz="1300" baseline="0">
                  <a:latin typeface="+mj-lt"/>
                </a:rPr>
                <a:t>ρ</a:t>
              </a:r>
              <a:r>
                <a:rPr lang="it-IT" sz="1300" baseline="0">
                  <a:latin typeface="+mj-lt"/>
                </a:rPr>
                <a:t>   = fluid density, kg/m</a:t>
              </a:r>
              <a:r>
                <a:rPr lang="it-IT" sz="1300" baseline="30000">
                  <a:latin typeface="+mj-lt"/>
                </a:rPr>
                <a:t>3</a:t>
              </a:r>
            </a:p>
            <a:p>
              <a:r>
                <a:rPr lang="it-IT" sz="1300">
                  <a:latin typeface="+mj-lt"/>
                </a:rPr>
                <a:t>            v</a:t>
              </a:r>
              <a:r>
                <a:rPr lang="it-IT" sz="1300" baseline="0">
                  <a:latin typeface="+mj-lt"/>
                </a:rPr>
                <a:t>   = average fluid velocity, m/s</a:t>
              </a:r>
              <a:endParaRPr lang="it-IT" sz="1300">
                <a:latin typeface="+mj-lt"/>
              </a:endParaRPr>
            </a:p>
          </xdr:txBody>
        </xdr:sp>
      </mc:Choice>
      <mc:Fallback xmlns="">
        <xdr:sp macro="" textlink="">
          <xdr:nvSpPr>
            <xdr:cNvPr id="6" name="CasellaDiTesto 5"/>
            <xdr:cNvSpPr txBox="1"/>
          </xdr:nvSpPr>
          <xdr:spPr>
            <a:xfrm>
              <a:off x="36430324" y="16282147"/>
              <a:ext cx="5199530" cy="303679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GENERAL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EQUATION</a:t>
              </a:r>
            </a:p>
            <a:p>
              <a:r>
                <a:rPr lang="it-IT" sz="1300" baseline="0">
                  <a:latin typeface="+mj-lt"/>
                </a:rPr>
                <a:t>Continuous pressure drops canbe calculated with the following formula: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="0" i="0" baseline="0">
                  <a:latin typeface="+mj-lt"/>
                </a:rPr>
                <a:t>𝑟= 𝐹_𝑎</a:t>
              </a:r>
              <a:r>
                <a:rPr lang="it-IT" sz="1300" b="0" i="0" baseline="0">
                  <a:latin typeface="+mj-lt"/>
                  <a:ea typeface="Cambria Math" panose="02040503050406030204" pitchFamily="18" charset="0"/>
                </a:rPr>
                <a:t>∙  1/𝐷  ∙𝜌∙𝑣^2/2</a:t>
              </a:r>
              <a:r>
                <a:rPr lang="it-IT" sz="1300" baseline="0">
                  <a:latin typeface="+mj-lt"/>
                </a:rPr>
                <a:t>                           Eq 1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where r   = specific pressure drop , Pa/m</a:t>
              </a:r>
            </a:p>
            <a:p>
              <a:r>
                <a:rPr lang="it-IT" sz="1300" baseline="0">
                  <a:latin typeface="+mj-lt"/>
                </a:rPr>
                <a:t>            Fa = Friction coefficient, non-dimensional</a:t>
              </a:r>
            </a:p>
            <a:p>
              <a:r>
                <a:rPr lang="it-IT" sz="1300" baseline="0">
                  <a:latin typeface="+mj-lt"/>
                </a:rPr>
                <a:t>            D  = internal diamter of the pipe , m</a:t>
              </a:r>
            </a:p>
            <a:p>
              <a:r>
                <a:rPr lang="it-IT" sz="1300" baseline="0">
                  <a:latin typeface="+mj-lt"/>
                </a:rPr>
                <a:t>            </a:t>
              </a:r>
              <a:r>
                <a:rPr lang="el-GR" sz="1300" baseline="0">
                  <a:latin typeface="+mj-lt"/>
                </a:rPr>
                <a:t>ρ</a:t>
              </a:r>
              <a:r>
                <a:rPr lang="it-IT" sz="1300" baseline="0">
                  <a:latin typeface="+mj-lt"/>
                </a:rPr>
                <a:t>   = fluid density, kg/m</a:t>
              </a:r>
              <a:r>
                <a:rPr lang="it-IT" sz="1300" baseline="30000">
                  <a:latin typeface="+mj-lt"/>
                </a:rPr>
                <a:t>3</a:t>
              </a:r>
            </a:p>
            <a:p>
              <a:r>
                <a:rPr lang="it-IT" sz="1300">
                  <a:latin typeface="+mj-lt"/>
                </a:rPr>
                <a:t>            v</a:t>
              </a:r>
              <a:r>
                <a:rPr lang="it-IT" sz="1300" baseline="0">
                  <a:latin typeface="+mj-lt"/>
                </a:rPr>
                <a:t>   = average fluid velocity, m/s</a:t>
              </a:r>
              <a:endParaRPr lang="it-IT" sz="1300">
                <a:latin typeface="+mj-lt"/>
              </a:endParaRPr>
            </a:p>
          </xdr:txBody>
        </xdr:sp>
      </mc:Fallback>
    </mc:AlternateContent>
    <xdr:clientData/>
  </xdr:twoCellAnchor>
  <xdr:twoCellAnchor>
    <xdr:from>
      <xdr:col>24</xdr:col>
      <xdr:colOff>381000</xdr:colOff>
      <xdr:row>93</xdr:row>
      <xdr:rowOff>9525</xdr:rowOff>
    </xdr:from>
    <xdr:to>
      <xdr:col>33</xdr:col>
      <xdr:colOff>134471</xdr:colOff>
      <xdr:row>111</xdr:row>
      <xdr:rowOff>38100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asellaDiTesto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36518850" y="19478625"/>
              <a:ext cx="5239871" cy="4095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LOW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ROUGHNESS PIPES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These pipes are also smooth pipes and include both copper pipes (bars or rolled), and plastic pipes (polyethilene, polypropylene, etc..)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it-IT" sz="13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lang="it-IT" sz="1300" b="0" i="1" baseline="0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  <m:r>
                    <a:rPr lang="it-IT" sz="1300" b="0" i="1" baseline="0">
                      <a:latin typeface="Cambria Math" panose="02040503050406030204" pitchFamily="18" charset="0"/>
                    </a:rPr>
                    <m:t>=0.316</m:t>
                  </m:r>
                  <m:r>
                    <a:rPr lang="it-IT" sz="13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 </m:t>
                  </m:r>
                  <m:sSup>
                    <m:sSupPr>
                      <m:ctrlP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𝑅𝑒</m:t>
                      </m:r>
                    </m:e>
                    <m:sup>
                      <m:r>
                        <a:rPr lang="it-IT" sz="13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−0,25</m:t>
                      </m:r>
                    </m:sup>
                  </m:sSup>
                </m:oMath>
              </a14:m>
              <a:r>
                <a:rPr lang="it-IT" sz="1300" baseline="0">
                  <a:latin typeface="+mj-lt"/>
                </a:rPr>
                <a:t>                              Eq.8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From Eq.1, replacing Fa and v with the proper equalities:</a:t>
              </a:r>
            </a:p>
            <a:p>
              <a:endParaRPr lang="it-IT" sz="1300" baseline="0">
                <a:latin typeface="+mj-lt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=0,241 ∙ </m:t>
                    </m:r>
                    <m:sSup>
                      <m:sSup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e>
                      <m:sup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−0,25</m:t>
                        </m:r>
                      </m:sup>
                    </m:sSup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𝜌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1,75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4,75</m:t>
                            </m:r>
                          </m:sup>
                        </m:sSup>
                      </m:den>
                    </m:f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Changing the units with the more common units: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=14,68 ∙ </m:t>
                    </m:r>
                    <m:sSup>
                      <m:sSup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</m:t>
                        </m:r>
                      </m:e>
                      <m:sup>
                        <m: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0,25</m:t>
                        </m:r>
                      </m:sup>
                    </m:sSup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𝜌</m:t>
                    </m:r>
                    <m:r>
                      <a:rPr lang="it-IT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f>
                      <m:fPr>
                        <m:ctrlPr>
                          <a:rPr lang="it-IT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1,75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e>
                          <m:sup>
                            <m:r>
                              <a:rPr lang="it-IT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4,75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300" baseline="0">
                  <a:latin typeface="+mj-lt"/>
                </a:rPr>
                <a:t>where: r (mm c.a./m);      v (m</a:t>
              </a:r>
              <a:r>
                <a:rPr lang="it-IT" sz="1300" baseline="30000">
                  <a:latin typeface="+mj-lt"/>
                </a:rPr>
                <a:t>2</a:t>
              </a:r>
              <a:r>
                <a:rPr lang="it-IT" sz="1300" baseline="0">
                  <a:latin typeface="+mj-lt"/>
                </a:rPr>
                <a:t>/s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</a:t>
              </a:r>
              <a:r>
                <a:rPr lang="el-GR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ρ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   (kg/m</a:t>
              </a:r>
              <a:r>
                <a:rPr lang="it-IT" sz="1300" baseline="3000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3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  G (L/h);      D (mm)</a:t>
              </a:r>
            </a:p>
            <a:p>
              <a:endParaRPr lang="it-IT" sz="1300" baseline="0">
                <a:solidFill>
                  <a:schemeClr val="dk1"/>
                </a:solidFill>
                <a:latin typeface="+mj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5" name="CasellaDiTesto 24"/>
            <xdr:cNvSpPr txBox="1"/>
          </xdr:nvSpPr>
          <xdr:spPr>
            <a:xfrm>
              <a:off x="36518850" y="19478625"/>
              <a:ext cx="5239871" cy="4095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800" b="0">
                  <a:solidFill>
                    <a:srgbClr val="00B050"/>
                  </a:solidFill>
                  <a:latin typeface="+mj-lt"/>
                </a:rPr>
                <a:t>LOW</a:t>
              </a:r>
              <a:r>
                <a:rPr lang="it-IT" sz="1800" b="0" baseline="0">
                  <a:solidFill>
                    <a:srgbClr val="00B050"/>
                  </a:solidFill>
                  <a:latin typeface="+mj-lt"/>
                </a:rPr>
                <a:t> ROUGHNESS PIPES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These pipes are also smooth pipes and include both copper pipes (bars or rolled), and plastic pipes (polyethilene, polypropylene, etc..)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="0" i="0" baseline="0">
                  <a:latin typeface="Cambria Math" panose="02040503050406030204" pitchFamily="18" charset="0"/>
                </a:rPr>
                <a:t>𝐹_𝑎</a:t>
              </a:r>
              <a:r>
                <a:rPr lang="it-IT" sz="1300" b="0" i="0" baseline="0">
                  <a:latin typeface="+mj-lt"/>
                </a:rPr>
                <a:t>=</a:t>
              </a:r>
              <a:r>
                <a:rPr lang="it-IT" sz="1300" b="0" i="0" baseline="0">
                  <a:latin typeface="Cambria Math" panose="02040503050406030204" pitchFamily="18" charset="0"/>
                </a:rPr>
                <a:t>0.316</a:t>
              </a:r>
              <a:r>
                <a:rPr lang="it-IT" sz="1300" b="0" i="0" baseline="0">
                  <a:latin typeface="+mj-lt"/>
                  <a:ea typeface="Cambria Math" panose="02040503050406030204" pitchFamily="18" charset="0"/>
                </a:rPr>
                <a:t>∙ </a:t>
              </a:r>
              <a:r>
                <a:rPr lang="it-IT" sz="13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〖𝑅𝑒〗^(−0,25)</a:t>
              </a:r>
              <a:r>
                <a:rPr lang="it-IT" sz="1300" baseline="0">
                  <a:latin typeface="+mj-lt"/>
                </a:rPr>
                <a:t>                              Eq.8</a:t>
              </a:r>
            </a:p>
            <a:p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From Eq.1, replacing Fa and v with the proper equalities:</a:t>
              </a:r>
            </a:p>
            <a:p>
              <a:endParaRPr lang="it-IT" sz="1300" baseline="0">
                <a:latin typeface="+mj-lt"/>
              </a:endParaRPr>
            </a:p>
            <a:p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𝑟=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0,241 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∙ 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^(−0,25)∙𝜌∙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𝐺^1,75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/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𝐷^4,75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 </a:t>
              </a:r>
              <a:endParaRPr lang="it-IT" sz="1300" baseline="0">
                <a:latin typeface="+mj-lt"/>
              </a:endParaRPr>
            </a:p>
            <a:p>
              <a:endParaRPr lang="it-IT" sz="1300" baseline="0">
                <a:latin typeface="+mj-lt"/>
              </a:endParaRPr>
            </a:p>
            <a:p>
              <a:r>
                <a:rPr lang="it-IT" sz="1300" baseline="0">
                  <a:latin typeface="+mj-lt"/>
                </a:rPr>
                <a:t>Changing the units with the more common units:</a:t>
              </a:r>
            </a:p>
            <a:p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𝑟=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14,68</a:t>
              </a:r>
              <a:r>
                <a:rPr lang="it-IT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∙ 𝑣^0,25∙𝜌∙𝐺^1,75/𝐷^4,75 </a:t>
              </a: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it-IT" sz="1300" baseline="0">
                <a:latin typeface="+mj-lt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300" baseline="0">
                  <a:latin typeface="+mj-lt"/>
                </a:rPr>
                <a:t>where: r (mm c.a./m);      v (m</a:t>
              </a:r>
              <a:r>
                <a:rPr lang="it-IT" sz="1300" baseline="30000">
                  <a:latin typeface="+mj-lt"/>
                </a:rPr>
                <a:t>2</a:t>
              </a:r>
              <a:r>
                <a:rPr lang="it-IT" sz="1300" baseline="0">
                  <a:latin typeface="+mj-lt"/>
                </a:rPr>
                <a:t>/s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</a:t>
              </a:r>
              <a:r>
                <a:rPr lang="el-GR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ρ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   (kg/m</a:t>
              </a:r>
              <a:r>
                <a:rPr lang="it-IT" sz="1300" baseline="3000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3</a:t>
              </a:r>
              <a:r>
                <a:rPr lang="it-IT" sz="1300" baseline="0">
                  <a:solidFill>
                    <a:schemeClr val="dk1"/>
                  </a:solidFill>
                  <a:latin typeface="+mj-lt"/>
                  <a:ea typeface="+mn-ea"/>
                  <a:cs typeface="+mn-cs"/>
                </a:rPr>
                <a:t>);      G (L/h);      D (mm)</a:t>
              </a:r>
            </a:p>
            <a:p>
              <a:endParaRPr lang="it-IT" sz="1300" baseline="0">
                <a:solidFill>
                  <a:schemeClr val="dk1"/>
                </a:solidFill>
                <a:latin typeface="+mj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26</xdr:col>
      <xdr:colOff>180975</xdr:colOff>
      <xdr:row>72</xdr:row>
      <xdr:rowOff>76200</xdr:rowOff>
    </xdr:from>
    <xdr:to>
      <xdr:col>32</xdr:col>
      <xdr:colOff>38100</xdr:colOff>
      <xdr:row>79</xdr:row>
      <xdr:rowOff>171450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7538025" y="14658975"/>
              <a:ext cx="3514725" cy="1485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400" b="0" i="1">
                        <a:latin typeface="Cambria Math" panose="02040503050406030204" pitchFamily="18" charset="0"/>
                      </a:rPr>
                      <m:t>𝑅𝑒</m:t>
                    </m:r>
                    <m:r>
                      <a:rPr lang="it-IT" sz="14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r>
                          <a:rPr lang="el-GR" sz="1400" b="1" i="1">
                            <a:latin typeface="Cambria Math" panose="02040503050406030204" pitchFamily="18" charset="0"/>
                          </a:rPr>
                          <m:t>𝝂</m:t>
                        </m:r>
                      </m:den>
                    </m:f>
                  </m:oMath>
                </m:oMathPara>
              </a14:m>
              <a:endParaRPr lang="it-IT" sz="1100"/>
            </a:p>
            <a:p>
              <a:endParaRPr lang="it-IT" sz="1100"/>
            </a:p>
            <a:p>
              <a:r>
                <a:rPr lang="it-IT" sz="1200">
                  <a:latin typeface="+mj-lt"/>
                </a:rPr>
                <a:t>D</a:t>
              </a:r>
              <a:r>
                <a:rPr lang="it-IT" sz="1200" baseline="0">
                  <a:latin typeface="+mj-lt"/>
                </a:rPr>
                <a:t> = internal diameter of the pipe, m</a:t>
              </a:r>
            </a:p>
            <a:p>
              <a:r>
                <a:rPr lang="it-IT" sz="1200" baseline="0">
                  <a:latin typeface="+mj-lt"/>
                </a:rPr>
                <a:t>v= average velocity of the flow, m/s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200" baseline="0">
                  <a:latin typeface="+mj-lt"/>
                </a:rPr>
                <a:t>ν = cinematic viscosity of the fluid, 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m</a:t>
              </a:r>
              <a:r>
                <a:rPr lang="it-IT" sz="1200" baseline="300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2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/s</a:t>
              </a:r>
              <a:endParaRPr lang="it-IT" sz="1200">
                <a:effectLst/>
                <a:latin typeface="+mj-lt"/>
              </a:endParaRPr>
            </a:p>
          </xdr:txBody>
        </xdr:sp>
      </mc:Choice>
      <mc:Fallback xmlns="">
        <xdr:sp macro="" textlink="">
          <xdr:nvSpPr>
            <xdr:cNvPr id="7" name="CasellaDiTesto 6"/>
            <xdr:cNvSpPr txBox="1"/>
          </xdr:nvSpPr>
          <xdr:spPr>
            <a:xfrm>
              <a:off x="37538025" y="14658975"/>
              <a:ext cx="3514725" cy="1485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400" b="0" i="0">
                  <a:latin typeface="Cambria Math" panose="02040503050406030204" pitchFamily="18" charset="0"/>
                </a:rPr>
                <a:t>𝑅𝑒=  (𝑣</a:t>
              </a:r>
              <a:r>
                <a:rPr lang="it-IT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∙𝐷)/</a:t>
              </a:r>
              <a:r>
                <a:rPr lang="el-GR" sz="1400" b="1" i="0">
                  <a:latin typeface="Cambria Math" panose="02040503050406030204" pitchFamily="18" charset="0"/>
                </a:rPr>
                <a:t>𝝂</a:t>
              </a:r>
              <a:endParaRPr lang="it-IT" sz="1100"/>
            </a:p>
            <a:p>
              <a:endParaRPr lang="it-IT" sz="1100"/>
            </a:p>
            <a:p>
              <a:r>
                <a:rPr lang="it-IT" sz="1200">
                  <a:latin typeface="+mj-lt"/>
                </a:rPr>
                <a:t>D</a:t>
              </a:r>
              <a:r>
                <a:rPr lang="it-IT" sz="1200" baseline="0">
                  <a:latin typeface="+mj-lt"/>
                </a:rPr>
                <a:t> = internal diameter of the pipe, m</a:t>
              </a:r>
            </a:p>
            <a:p>
              <a:r>
                <a:rPr lang="it-IT" sz="1200" baseline="0">
                  <a:latin typeface="+mj-lt"/>
                </a:rPr>
                <a:t>v= average velocity of the flow, m/s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1200" baseline="0">
                  <a:latin typeface="+mj-lt"/>
                </a:rPr>
                <a:t>ν = cinematic viscosity of the fluid, 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m</a:t>
              </a:r>
              <a:r>
                <a:rPr lang="it-IT" sz="1200" baseline="300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2</a:t>
              </a:r>
              <a:r>
                <a:rPr lang="it-IT" sz="12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/s</a:t>
              </a:r>
              <a:endParaRPr lang="it-IT" sz="1200">
                <a:effectLst/>
                <a:latin typeface="+mj-lt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11</xdr:row>
      <xdr:rowOff>157161</xdr:rowOff>
    </xdr:from>
    <xdr:to>
      <xdr:col>11</xdr:col>
      <xdr:colOff>76201</xdr:colOff>
      <xdr:row>30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32</xdr:row>
      <xdr:rowOff>179294</xdr:rowOff>
    </xdr:from>
    <xdr:to>
      <xdr:col>4</xdr:col>
      <xdr:colOff>191739</xdr:colOff>
      <xdr:row>38</xdr:row>
      <xdr:rowOff>27025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6275294"/>
          <a:ext cx="2808312" cy="990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270544</xdr:colOff>
      <xdr:row>34</xdr:row>
      <xdr:rowOff>2533</xdr:rowOff>
    </xdr:from>
    <xdr:to>
      <xdr:col>14</xdr:col>
      <xdr:colOff>480095</xdr:colOff>
      <xdr:row>36</xdr:row>
      <xdr:rowOff>59683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6132" y="6479533"/>
          <a:ext cx="478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20</xdr:row>
      <xdr:rowOff>166687</xdr:rowOff>
    </xdr:from>
    <xdr:to>
      <xdr:col>17</xdr:col>
      <xdr:colOff>390525</xdr:colOff>
      <xdr:row>38</xdr:row>
      <xdr:rowOff>52387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145676</xdr:colOff>
      <xdr:row>42</xdr:row>
      <xdr:rowOff>53207</xdr:rowOff>
    </xdr:from>
    <xdr:to>
      <xdr:col>5</xdr:col>
      <xdr:colOff>458881</xdr:colOff>
      <xdr:row>45</xdr:row>
      <xdr:rowOff>100832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7998178"/>
          <a:ext cx="2733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576472</xdr:colOff>
      <xdr:row>42</xdr:row>
      <xdr:rowOff>44823</xdr:rowOff>
    </xdr:from>
    <xdr:to>
      <xdr:col>13</xdr:col>
      <xdr:colOff>408384</xdr:colOff>
      <xdr:row>45</xdr:row>
      <xdr:rowOff>149598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178" y="7989794"/>
          <a:ext cx="3619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19</xdr:row>
      <xdr:rowOff>9525</xdr:rowOff>
    </xdr:from>
    <xdr:to>
      <xdr:col>22</xdr:col>
      <xdr:colOff>238125</xdr:colOff>
      <xdr:row>43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27215</xdr:colOff>
      <xdr:row>49</xdr:row>
      <xdr:rowOff>68036</xdr:rowOff>
    </xdr:from>
    <xdr:to>
      <xdr:col>5</xdr:col>
      <xdr:colOff>403020</xdr:colOff>
      <xdr:row>52</xdr:row>
      <xdr:rowOff>106136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6" y="9361715"/>
          <a:ext cx="282509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380908</xdr:colOff>
      <xdr:row>49</xdr:row>
      <xdr:rowOff>118919</xdr:rowOff>
    </xdr:from>
    <xdr:to>
      <xdr:col>15</xdr:col>
      <xdr:colOff>357529</xdr:colOff>
      <xdr:row>52</xdr:row>
      <xdr:rowOff>80819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837" y="9412598"/>
          <a:ext cx="503847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18</xdr:row>
      <xdr:rowOff>76201</xdr:rowOff>
    </xdr:from>
    <xdr:to>
      <xdr:col>25</xdr:col>
      <xdr:colOff>228600</xdr:colOff>
      <xdr:row>43</xdr:row>
      <xdr:rowOff>95251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151039</xdr:colOff>
      <xdr:row>45</xdr:row>
      <xdr:rowOff>36059</xdr:rowOff>
    </xdr:from>
    <xdr:to>
      <xdr:col>13</xdr:col>
      <xdr:colOff>598714</xdr:colOff>
      <xdr:row>64</xdr:row>
      <xdr:rowOff>69397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18</xdr:row>
      <xdr:rowOff>76201</xdr:rowOff>
    </xdr:from>
    <xdr:to>
      <xdr:col>25</xdr:col>
      <xdr:colOff>228600</xdr:colOff>
      <xdr:row>43</xdr:row>
      <xdr:rowOff>95251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151039</xdr:colOff>
      <xdr:row>45</xdr:row>
      <xdr:rowOff>36059</xdr:rowOff>
    </xdr:from>
    <xdr:to>
      <xdr:col>13</xdr:col>
      <xdr:colOff>598714</xdr:colOff>
      <xdr:row>64</xdr:row>
      <xdr:rowOff>69397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52"/>
  <sheetViews>
    <sheetView tabSelected="1" topLeftCell="A43" zoomScale="70" zoomScaleNormal="70" workbookViewId="0">
      <selection activeCell="D63" sqref="D63"/>
    </sheetView>
  </sheetViews>
  <sheetFormatPr defaultRowHeight="14.4" x14ac:dyDescent="0.55000000000000004"/>
  <cols>
    <col min="1" max="1" width="88" bestFit="1" customWidth="1"/>
    <col min="2" max="2" width="80" bestFit="1" customWidth="1"/>
    <col min="3" max="3" width="16.26171875" style="1" customWidth="1"/>
    <col min="4" max="4" width="20.578125" bestFit="1" customWidth="1"/>
    <col min="5" max="5" width="13.83984375" customWidth="1"/>
    <col min="7" max="7" width="13.9453125" bestFit="1" customWidth="1"/>
    <col min="8" max="8" width="40.83984375" bestFit="1" customWidth="1"/>
    <col min="9" max="9" width="55.15625" customWidth="1"/>
    <col min="10" max="10" width="52.83984375" customWidth="1"/>
    <col min="11" max="11" width="11.26171875" bestFit="1" customWidth="1"/>
    <col min="16" max="16" width="19.26171875" customWidth="1"/>
    <col min="17" max="17" width="13.578125" bestFit="1" customWidth="1"/>
    <col min="20" max="21" width="14.83984375" bestFit="1" customWidth="1"/>
  </cols>
  <sheetData>
    <row r="1" spans="1:62" x14ac:dyDescent="0.55000000000000004">
      <c r="C1" s="25"/>
    </row>
    <row r="2" spans="1:62" x14ac:dyDescent="0.55000000000000004">
      <c r="A2" s="32" t="s">
        <v>186</v>
      </c>
      <c r="B2" s="32" t="s">
        <v>126</v>
      </c>
      <c r="C2" s="25"/>
    </row>
    <row r="3" spans="1:62" x14ac:dyDescent="0.55000000000000004">
      <c r="C3" s="25"/>
    </row>
    <row r="4" spans="1:62" x14ac:dyDescent="0.55000000000000004">
      <c r="A4" s="86" t="s">
        <v>187</v>
      </c>
      <c r="B4" t="s">
        <v>166</v>
      </c>
      <c r="C4" s="25"/>
    </row>
    <row r="6" spans="1:62" x14ac:dyDescent="0.55000000000000004">
      <c r="AS6" s="26" t="s">
        <v>63</v>
      </c>
      <c r="AT6" s="26"/>
      <c r="AU6" s="27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</row>
    <row r="7" spans="1:62" x14ac:dyDescent="0.55000000000000004">
      <c r="A7" s="32" t="s">
        <v>188</v>
      </c>
      <c r="B7" s="32" t="s">
        <v>127</v>
      </c>
      <c r="AS7" s="26"/>
      <c r="AT7" s="26"/>
      <c r="AU7" s="26"/>
      <c r="AV7" s="26"/>
      <c r="AW7" s="26"/>
      <c r="AX7" s="27" t="str">
        <f>C56</f>
        <v>Δθ_H</v>
      </c>
      <c r="AY7" s="27" t="str">
        <f>C57</f>
        <v>q</v>
      </c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</row>
    <row r="8" spans="1:62" ht="15.6" x14ac:dyDescent="0.6">
      <c r="A8" t="s">
        <v>216</v>
      </c>
      <c r="B8" t="s">
        <v>175</v>
      </c>
      <c r="C8" s="19" t="s">
        <v>0</v>
      </c>
      <c r="D8" s="33">
        <v>0.1</v>
      </c>
      <c r="E8" t="s">
        <v>13</v>
      </c>
      <c r="AS8" s="26"/>
      <c r="AT8" s="26"/>
      <c r="AU8" s="28"/>
      <c r="AV8" s="28"/>
      <c r="AW8" s="26"/>
      <c r="AX8" s="27">
        <v>0</v>
      </c>
      <c r="AY8" s="27">
        <v>0</v>
      </c>
      <c r="AZ8" s="26"/>
      <c r="BA8" s="26">
        <f>D56</f>
        <v>11.972170593928494</v>
      </c>
      <c r="BB8" s="26">
        <v>0</v>
      </c>
      <c r="BC8" s="26"/>
      <c r="BD8" s="26">
        <f>BA8</f>
        <v>11.972170593928494</v>
      </c>
      <c r="BE8" s="26">
        <f>BB9</f>
        <v>79.941636815002468</v>
      </c>
      <c r="BF8" s="26"/>
      <c r="BG8" s="26"/>
      <c r="BH8" s="26">
        <v>0</v>
      </c>
      <c r="BI8" s="26">
        <f>'Dati Generali'!$D$67</f>
        <v>89.059809718961446</v>
      </c>
      <c r="BJ8" s="26"/>
    </row>
    <row r="9" spans="1:62" ht="15.6" x14ac:dyDescent="0.6">
      <c r="A9" t="s">
        <v>189</v>
      </c>
      <c r="B9" t="s">
        <v>31</v>
      </c>
      <c r="C9" s="19" t="s">
        <v>129</v>
      </c>
      <c r="D9" s="33">
        <v>2.1999999999999999E-2</v>
      </c>
      <c r="E9" t="s">
        <v>13</v>
      </c>
      <c r="F9" t="s">
        <v>54</v>
      </c>
      <c r="AS9" s="26"/>
      <c r="AT9" s="26"/>
      <c r="AU9" s="28"/>
      <c r="AV9" s="28"/>
      <c r="AW9" s="26"/>
      <c r="AX9" s="27">
        <v>60</v>
      </c>
      <c r="AY9" s="27">
        <f>D51*AX9</f>
        <v>400.63730893816529</v>
      </c>
      <c r="AZ9" s="26"/>
      <c r="BA9" s="26">
        <f>BA8</f>
        <v>11.972170593928494</v>
      </c>
      <c r="BB9" s="26">
        <f>BA9*D51</f>
        <v>79.941636815002468</v>
      </c>
      <c r="BC9" s="26"/>
      <c r="BD9" s="26">
        <f>BB8</f>
        <v>0</v>
      </c>
      <c r="BE9" s="26">
        <f>BE8</f>
        <v>79.941636815002468</v>
      </c>
      <c r="BF9" s="26"/>
      <c r="BG9" s="26"/>
      <c r="BH9" s="29">
        <f>'Dati Generali'!$D$66</f>
        <v>13.337720836085239</v>
      </c>
      <c r="BI9" s="26">
        <f>BI8</f>
        <v>89.059809718961446</v>
      </c>
      <c r="BJ9" s="26"/>
    </row>
    <row r="10" spans="1:62" ht="15.6" x14ac:dyDescent="0.6">
      <c r="A10" t="s">
        <v>190</v>
      </c>
      <c r="B10" t="s">
        <v>27</v>
      </c>
      <c r="C10" s="19" t="s">
        <v>29</v>
      </c>
      <c r="D10" s="33">
        <v>2E-3</v>
      </c>
      <c r="E10" t="s">
        <v>13</v>
      </c>
      <c r="AS10" s="26"/>
      <c r="AT10" s="26"/>
      <c r="AU10" s="27" t="s">
        <v>62</v>
      </c>
      <c r="AV10" s="28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</row>
    <row r="11" spans="1:62" ht="15.6" x14ac:dyDescent="0.6">
      <c r="A11" t="s">
        <v>194</v>
      </c>
      <c r="B11" t="s">
        <v>174</v>
      </c>
      <c r="C11" s="20" t="s">
        <v>28</v>
      </c>
      <c r="D11" s="33">
        <v>0.35</v>
      </c>
      <c r="E11" t="s">
        <v>159</v>
      </c>
      <c r="AS11" s="26"/>
      <c r="AT11" s="26"/>
      <c r="AU11" s="28"/>
      <c r="AV11" s="28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>
        <f>BH12</f>
        <v>13.337720836085239</v>
      </c>
      <c r="BI11" s="26">
        <v>0</v>
      </c>
      <c r="BJ11" s="26"/>
    </row>
    <row r="12" spans="1:62" ht="16.8" x14ac:dyDescent="0.6">
      <c r="A12" t="s">
        <v>191</v>
      </c>
      <c r="B12" t="s">
        <v>173</v>
      </c>
      <c r="C12" s="19" t="s">
        <v>87</v>
      </c>
      <c r="D12" s="71">
        <f>PI()*((D9-D10*2)/2)^2</f>
        <v>2.5446900494077322E-4</v>
      </c>
      <c r="E12" t="s">
        <v>88</v>
      </c>
      <c r="AS12" s="26"/>
      <c r="AT12" s="26"/>
      <c r="AU12" s="27" t="s">
        <v>39</v>
      </c>
      <c r="AV12" s="26" t="s">
        <v>46</v>
      </c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>
        <f>'Dati Generali'!BH9</f>
        <v>13.337720836085239</v>
      </c>
      <c r="BI12" s="26">
        <f>'Dati Generali'!BI9</f>
        <v>89.059809718961446</v>
      </c>
      <c r="BJ12" s="26"/>
    </row>
    <row r="13" spans="1:62" x14ac:dyDescent="0.55000000000000004">
      <c r="AS13" s="26"/>
      <c r="AT13" s="26"/>
      <c r="AU13" s="28">
        <v>10</v>
      </c>
      <c r="AV13" s="28">
        <f>$D$65*B_G!$C$6*(AU13/$D$65)^n_G!$C$6</f>
        <v>87.965746358316096</v>
      </c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</row>
    <row r="14" spans="1:62" ht="15.6" x14ac:dyDescent="0.6">
      <c r="A14" s="32" t="s">
        <v>192</v>
      </c>
      <c r="B14" s="32" t="s">
        <v>128</v>
      </c>
      <c r="C14" s="20"/>
      <c r="D14" s="20"/>
      <c r="AS14" s="26"/>
      <c r="AT14" s="26"/>
      <c r="AU14" s="28">
        <v>12</v>
      </c>
      <c r="AV14" s="28">
        <f>$D$65*B_G!$C$6*(AU14/$D$65)^n_G!$C$6</f>
        <v>88.656756910488014</v>
      </c>
      <c r="AW14" s="26"/>
      <c r="AX14" s="26"/>
      <c r="AY14" s="26">
        <v>0.05</v>
      </c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</row>
    <row r="15" spans="1:62" ht="15.6" x14ac:dyDescent="0.6">
      <c r="A15" t="s">
        <v>193</v>
      </c>
      <c r="B15" t="s">
        <v>55</v>
      </c>
      <c r="C15" s="20" t="s">
        <v>21</v>
      </c>
      <c r="D15" s="33">
        <v>0.03</v>
      </c>
      <c r="E15" t="s">
        <v>13</v>
      </c>
      <c r="J15" s="70" t="s">
        <v>162</v>
      </c>
      <c r="K15" s="70" t="s">
        <v>163</v>
      </c>
      <c r="AS15" s="26"/>
      <c r="AT15" s="26"/>
      <c r="AU15" s="28">
        <v>14</v>
      </c>
      <c r="AV15" s="28">
        <f>$D$65*B_G!$C$6*(AU15/$D$65)^n_G!$C$6</f>
        <v>89.245231210360018</v>
      </c>
      <c r="AW15" s="26"/>
      <c r="AX15" s="26"/>
      <c r="AY15" s="26">
        <v>7.4999999999999997E-2</v>
      </c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</row>
    <row r="16" spans="1:62" ht="15.6" x14ac:dyDescent="0.6">
      <c r="A16" t="s">
        <v>195</v>
      </c>
      <c r="B16" t="s">
        <v>30</v>
      </c>
      <c r="C16" s="20" t="s">
        <v>20</v>
      </c>
      <c r="D16" s="33">
        <v>1.2</v>
      </c>
      <c r="E16" t="s">
        <v>159</v>
      </c>
      <c r="H16" s="30" t="s">
        <v>160</v>
      </c>
      <c r="I16" t="s">
        <v>260</v>
      </c>
      <c r="J16" s="33">
        <v>0.01</v>
      </c>
      <c r="K16" s="33">
        <v>1</v>
      </c>
      <c r="AS16" s="26"/>
      <c r="AT16" s="26"/>
      <c r="AU16" s="28">
        <v>16</v>
      </c>
      <c r="AV16" s="28">
        <f>$D$65*B_G!$C$6*(AU16/$D$65)^n_G!$C$6</f>
        <v>89.758147221909368</v>
      </c>
      <c r="AW16" s="26"/>
      <c r="AX16" s="26"/>
      <c r="AY16" s="26">
        <v>0.1</v>
      </c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</row>
    <row r="17" spans="1:62" ht="16.8" x14ac:dyDescent="0.6">
      <c r="A17" t="s">
        <v>196</v>
      </c>
      <c r="B17" t="s">
        <v>158</v>
      </c>
      <c r="C17" s="19" t="s">
        <v>37</v>
      </c>
      <c r="D17" s="72">
        <f>J16/K16+J17/K17</f>
        <v>1.2857142857142859E-2</v>
      </c>
      <c r="E17" t="s">
        <v>89</v>
      </c>
      <c r="H17" t="s">
        <v>161</v>
      </c>
      <c r="I17" t="s">
        <v>261</v>
      </c>
      <c r="J17" s="33">
        <v>4.0000000000000001E-3</v>
      </c>
      <c r="K17" s="33">
        <v>1.4</v>
      </c>
      <c r="AS17" s="26"/>
      <c r="AT17" s="26"/>
      <c r="AU17" s="28">
        <v>18</v>
      </c>
      <c r="AV17" s="28">
        <f>$D$65*B_G!$C$6*(AU17/$D$65)^n_G!$C$6</f>
        <v>90.213017525788374</v>
      </c>
      <c r="AW17" s="26"/>
      <c r="AX17" s="26"/>
      <c r="AY17" s="26">
        <v>0.15</v>
      </c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</row>
    <row r="18" spans="1:62" ht="15.6" x14ac:dyDescent="0.6">
      <c r="A18" t="s">
        <v>276</v>
      </c>
      <c r="B18" t="s">
        <v>197</v>
      </c>
      <c r="C18" s="19" t="s">
        <v>70</v>
      </c>
      <c r="D18" s="33">
        <v>0.02</v>
      </c>
      <c r="AS18" s="26"/>
      <c r="AT18" s="26"/>
      <c r="AU18" s="28">
        <v>20</v>
      </c>
      <c r="AV18" s="28">
        <f>$D$65*B_G!$C$6*(AU18/$D$65)^n_G!$C$6</f>
        <v>90.621865826337199</v>
      </c>
      <c r="AW18" s="26"/>
      <c r="AX18" s="26"/>
      <c r="AY18" s="26">
        <v>0.2</v>
      </c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</row>
    <row r="19" spans="1:62" ht="15.6" x14ac:dyDescent="0.6">
      <c r="A19" t="s">
        <v>198</v>
      </c>
      <c r="B19" t="s">
        <v>65</v>
      </c>
      <c r="C19" s="19" t="s">
        <v>208</v>
      </c>
      <c r="D19" s="33">
        <v>0.04</v>
      </c>
      <c r="AS19" s="26"/>
      <c r="AT19" s="26"/>
      <c r="AU19" s="28">
        <v>22</v>
      </c>
      <c r="AV19" s="28">
        <f>$D$65*B_G!$C$6*(AU19/$D$65)^n_G!$C$6</f>
        <v>90.993310091923831</v>
      </c>
      <c r="AW19" s="26"/>
      <c r="AX19" s="26"/>
      <c r="AY19" s="26">
        <v>0.22500000000000001</v>
      </c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</row>
    <row r="20" spans="1:62" ht="15.6" x14ac:dyDescent="0.6">
      <c r="A20" t="s">
        <v>199</v>
      </c>
      <c r="B20" t="s">
        <v>66</v>
      </c>
      <c r="C20" s="19" t="s">
        <v>209</v>
      </c>
      <c r="D20" s="33">
        <v>3.5000000000000003E-2</v>
      </c>
      <c r="H20" s="35" t="s">
        <v>165</v>
      </c>
      <c r="I20" s="35" t="s">
        <v>262</v>
      </c>
      <c r="AS20" s="26"/>
      <c r="AT20" s="26"/>
      <c r="AU20" s="28">
        <v>24</v>
      </c>
      <c r="AV20" s="28">
        <f>$D$65*B_G!$C$6*(AU20/$D$65)^n_G!$C$6</f>
        <v>91.33374139308826</v>
      </c>
      <c r="AW20" s="26"/>
      <c r="AX20" s="26"/>
      <c r="AY20" s="26">
        <v>0.3</v>
      </c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</row>
    <row r="21" spans="1:62" ht="15.6" x14ac:dyDescent="0.6">
      <c r="A21" t="s">
        <v>200</v>
      </c>
      <c r="B21" t="s">
        <v>67</v>
      </c>
      <c r="C21" s="19" t="s">
        <v>72</v>
      </c>
      <c r="D21" s="33">
        <v>0.2</v>
      </c>
      <c r="H21" s="35" t="s">
        <v>164</v>
      </c>
      <c r="I21" s="35" t="s">
        <v>263</v>
      </c>
      <c r="AS21" s="26"/>
      <c r="AT21" s="26"/>
      <c r="AU21" s="28">
        <v>26</v>
      </c>
      <c r="AV21" s="28">
        <f>$D$65*B_G!$C$6*(AU21/$D$65)^n_G!$C$6</f>
        <v>91.648032445166152</v>
      </c>
      <c r="AW21" s="26"/>
      <c r="AX21" s="26"/>
      <c r="AY21" s="26">
        <v>0.375</v>
      </c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</row>
    <row r="22" spans="1:62" ht="15.6" x14ac:dyDescent="0.6">
      <c r="A22" t="s">
        <v>201</v>
      </c>
      <c r="B22" t="s">
        <v>68</v>
      </c>
      <c r="C22" s="19" t="s">
        <v>74</v>
      </c>
      <c r="D22" s="33">
        <v>0.35</v>
      </c>
      <c r="AS22" s="26"/>
      <c r="AT22" s="26"/>
      <c r="AU22" s="28">
        <v>28</v>
      </c>
      <c r="AV22" s="28">
        <f>$D$65*B_G!$C$6*(AU22/$D$65)^n_G!$C$6</f>
        <v>91.939984632678588</v>
      </c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</row>
    <row r="23" spans="1:62" ht="15.6" x14ac:dyDescent="0.6">
      <c r="A23" t="s">
        <v>202</v>
      </c>
      <c r="B23" t="s">
        <v>69</v>
      </c>
      <c r="C23" s="19" t="s">
        <v>71</v>
      </c>
      <c r="D23" s="33">
        <v>0.01</v>
      </c>
      <c r="AS23" s="26"/>
      <c r="AT23" s="26"/>
      <c r="AU23" s="28">
        <v>30</v>
      </c>
      <c r="AV23" s="28">
        <f>$D$65*B_G!$C$6*(AU23/$D$65)^n_G!$C$6</f>
        <v>92.212621518122234</v>
      </c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</row>
    <row r="24" spans="1:62" ht="15.6" x14ac:dyDescent="0.6">
      <c r="A24" t="s">
        <v>203</v>
      </c>
      <c r="B24" t="s">
        <v>75</v>
      </c>
      <c r="C24" s="19" t="s">
        <v>73</v>
      </c>
      <c r="D24" s="33">
        <v>0.93</v>
      </c>
      <c r="AS24" s="26"/>
      <c r="AT24" s="26"/>
      <c r="AU24" s="28">
        <v>32</v>
      </c>
      <c r="AV24" s="28">
        <f>$D$65*B_G!$C$6*(AU24/$D$65)^n_G!$C$6</f>
        <v>92.468388106793057</v>
      </c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</row>
    <row r="25" spans="1:62" x14ac:dyDescent="0.55000000000000004">
      <c r="AS25" s="26"/>
      <c r="AT25" s="26"/>
      <c r="AU25" s="28">
        <v>34</v>
      </c>
      <c r="AV25" s="28">
        <f>$D$65*B_G!$C$6*(AU25/$D$65)^n_G!$C$6</f>
        <v>92.709290032037885</v>
      </c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</row>
    <row r="26" spans="1:62" x14ac:dyDescent="0.55000000000000004">
      <c r="A26" s="32" t="s">
        <v>204</v>
      </c>
      <c r="B26" s="32" t="s">
        <v>131</v>
      </c>
      <c r="AS26" s="26"/>
      <c r="AT26" s="26"/>
      <c r="AU26" s="28">
        <v>36</v>
      </c>
      <c r="AV26" s="28">
        <f>$D$65*B_G!$C$6*(AU26/$D$65)^n_G!$C$6</f>
        <v>92.936993187213787</v>
      </c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</row>
    <row r="27" spans="1:62" ht="16.8" x14ac:dyDescent="0.6">
      <c r="A27" t="s">
        <v>277</v>
      </c>
      <c r="B27" t="s">
        <v>81</v>
      </c>
      <c r="C27" s="19" t="s">
        <v>82</v>
      </c>
      <c r="D27" s="33">
        <v>27</v>
      </c>
      <c r="E27" t="s">
        <v>88</v>
      </c>
      <c r="AS27" s="26"/>
      <c r="AT27" s="26"/>
      <c r="AU27" s="28">
        <v>38</v>
      </c>
      <c r="AV27" s="28">
        <f>$D$65*B_G!$C$6*(AU27/$D$65)^n_G!$C$6</f>
        <v>93.152896582857551</v>
      </c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</row>
    <row r="28" spans="1:62" ht="15.6" x14ac:dyDescent="0.6">
      <c r="A28" t="s">
        <v>205</v>
      </c>
      <c r="B28" t="s">
        <v>111</v>
      </c>
      <c r="C28" s="19" t="s">
        <v>207</v>
      </c>
      <c r="D28" s="33">
        <v>2000</v>
      </c>
      <c r="E28" s="25" t="s">
        <v>112</v>
      </c>
      <c r="AS28" s="26"/>
      <c r="AT28" s="26"/>
      <c r="AU28" s="28">
        <v>40</v>
      </c>
      <c r="AV28" s="28">
        <f>$D$65*B_G!$C$6*(AU28/$D$65)^n_G!$C$6</f>
        <v>93.358186633180139</v>
      </c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</row>
    <row r="29" spans="1:62" ht="16.8" x14ac:dyDescent="0.6">
      <c r="A29" t="s">
        <v>206</v>
      </c>
      <c r="B29" t="s">
        <v>132</v>
      </c>
      <c r="C29" s="38" t="s">
        <v>207</v>
      </c>
      <c r="D29" s="39">
        <f>D28/D27</f>
        <v>74.074074074074076</v>
      </c>
      <c r="E29" s="40" t="s">
        <v>153</v>
      </c>
      <c r="AS29" s="26"/>
      <c r="AT29" s="26"/>
      <c r="AU29" s="28">
        <v>42</v>
      </c>
      <c r="AV29" s="28">
        <f>$D$65*B_G!$C$6*(AU29/$D$65)^n_G!$C$6</f>
        <v>93.553878283216946</v>
      </c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</row>
    <row r="30" spans="1:62" ht="15.6" x14ac:dyDescent="0.6">
      <c r="C30" s="38"/>
      <c r="D30" s="39"/>
      <c r="E30" s="40"/>
      <c r="AS30" s="26"/>
      <c r="AT30" s="26"/>
      <c r="AU30" s="28">
        <v>44</v>
      </c>
      <c r="AV30" s="28">
        <f>$D$65*B_G!$C$6*(AU30/$D$65)^n_G!$C$6</f>
        <v>93.740846632003326</v>
      </c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</row>
    <row r="31" spans="1:62" ht="15.6" x14ac:dyDescent="0.6">
      <c r="C31" s="38"/>
      <c r="D31" s="39"/>
      <c r="E31" s="40"/>
      <c r="AS31" s="26"/>
      <c r="AT31" s="26"/>
      <c r="AU31" s="28">
        <v>46</v>
      </c>
      <c r="AV31" s="28">
        <f>$D$65*B_G!$C$6*(AU31/$D$65)^n_G!$C$6</f>
        <v>93.919851573953792</v>
      </c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</row>
    <row r="32" spans="1:62" ht="15.6" x14ac:dyDescent="0.6">
      <c r="C32" s="38"/>
      <c r="D32" s="39"/>
      <c r="E32" s="40"/>
      <c r="AS32" s="26"/>
      <c r="AT32" s="26"/>
      <c r="AU32" s="28">
        <v>48</v>
      </c>
      <c r="AV32" s="28">
        <f>$D$65*B_G!$C$6*(AU32/$D$65)^n_G!$C$6</f>
        <v>94.09155723214468</v>
      </c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</row>
    <row r="33" spans="1:62" ht="15.6" x14ac:dyDescent="0.6">
      <c r="C33" s="38"/>
      <c r="D33" s="39"/>
      <c r="E33" s="40"/>
      <c r="AS33" s="26"/>
      <c r="AT33" s="26"/>
      <c r="AU33" s="28">
        <v>50</v>
      </c>
      <c r="AV33" s="28">
        <f>$D$65*B_G!$C$6*(AU33/$D$65)^n_G!$C$6</f>
        <v>94.25654745240881</v>
      </c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</row>
    <row r="34" spans="1:62" ht="15.6" x14ac:dyDescent="0.6">
      <c r="C34" s="38"/>
      <c r="D34" s="39"/>
      <c r="E34" s="40"/>
      <c r="AS34" s="26"/>
      <c r="AT34" s="26"/>
      <c r="AU34" s="28">
        <v>52</v>
      </c>
      <c r="AV34" s="28">
        <f>$D$65*B_G!$C$6*(AU34/$D$65)^n_G!$C$6</f>
        <v>94.415338280233627</v>
      </c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</row>
    <row r="35" spans="1:62" ht="15.6" x14ac:dyDescent="0.6">
      <c r="C35" s="20"/>
      <c r="AS35" s="26"/>
      <c r="AT35" s="26"/>
      <c r="AU35" s="28">
        <v>54</v>
      </c>
      <c r="AV35" s="28">
        <f>$D$65*B_G!$C$6*(AU35/$D$65)^n_G!$C$6</f>
        <v>94.568388099930104</v>
      </c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</row>
    <row r="36" spans="1:62" ht="15.6" x14ac:dyDescent="0.6">
      <c r="C36" s="19"/>
      <c r="AS36" s="26"/>
      <c r="AT36" s="26"/>
      <c r="AU36" s="28">
        <v>56</v>
      </c>
      <c r="AV36" s="28">
        <f>$D$65*B_G!$C$6*(AU36/$D$65)^n_G!$C$6</f>
        <v>94.716105943327051</v>
      </c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</row>
    <row r="37" spans="1:62" ht="15.6" x14ac:dyDescent="0.6">
      <c r="A37" s="32" t="s">
        <v>210</v>
      </c>
      <c r="B37" s="32" t="s">
        <v>211</v>
      </c>
      <c r="C37" s="19"/>
      <c r="AS37" s="26"/>
      <c r="AT37" s="26"/>
      <c r="AU37" s="28">
        <v>58</v>
      </c>
      <c r="AV37" s="28">
        <f>$D$65*B_G!$C$6*(AU37/$D$65)^n_G!$C$6</f>
        <v>94.85885835120709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</row>
    <row r="38" spans="1:62" ht="15.6" x14ac:dyDescent="0.6">
      <c r="C38" s="19"/>
      <c r="AS38" s="26"/>
      <c r="AT38" s="26"/>
      <c r="AU38" s="28">
        <v>60</v>
      </c>
      <c r="AV38" s="28">
        <f>$D$65*B_G!$C$6*(AU38/$D$65)^n_G!$C$6</f>
        <v>94.996975080176554</v>
      </c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</row>
    <row r="39" spans="1:62" ht="15.6" x14ac:dyDescent="0.6">
      <c r="C39" s="19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</row>
    <row r="40" spans="1:62" ht="15.6" x14ac:dyDescent="0.6">
      <c r="A40" s="32" t="s">
        <v>212</v>
      </c>
      <c r="B40" s="32" t="s">
        <v>141</v>
      </c>
      <c r="C40" s="19"/>
    </row>
    <row r="41" spans="1:62" ht="16.8" x14ac:dyDescent="0.6">
      <c r="A41" s="87" t="s">
        <v>213</v>
      </c>
      <c r="B41" s="49" t="s">
        <v>176</v>
      </c>
      <c r="C41" s="74" t="s">
        <v>133</v>
      </c>
      <c r="D41" s="82">
        <f>6.7</f>
        <v>6.7</v>
      </c>
      <c r="E41" s="25" t="s">
        <v>90</v>
      </c>
      <c r="G41" s="32" t="s">
        <v>134</v>
      </c>
      <c r="H41" s="34" t="s">
        <v>178</v>
      </c>
    </row>
    <row r="42" spans="1:62" ht="16.8" x14ac:dyDescent="0.6">
      <c r="A42" s="46" t="s">
        <v>214</v>
      </c>
      <c r="B42" s="61" t="s">
        <v>177</v>
      </c>
      <c r="C42" s="77" t="s">
        <v>1</v>
      </c>
      <c r="D42" s="83">
        <f>(1/D41+(1.1/PI())*(D43*D44^D45*D46^D47*D48^D49)*D8*(1/(2*D11)*LN(D9/(D9-2*D10))-1/(2*0.35)*LN(D9/(D9-2*0.002))))^-1</f>
        <v>6.7</v>
      </c>
      <c r="E42" s="25" t="s">
        <v>90</v>
      </c>
      <c r="H42" s="73" t="str">
        <f>CONCATENATE("λ_R = ", D11, " W/(m K) e s_R = ",D10, " m")</f>
        <v>λ_R = 0.35 W/(m K) e s_R = 0.002 m</v>
      </c>
    </row>
    <row r="43" spans="1:62" ht="15.6" x14ac:dyDescent="0.6">
      <c r="A43" s="79" t="s">
        <v>218</v>
      </c>
      <c r="B43" s="79" t="s">
        <v>179</v>
      </c>
      <c r="C43" s="80" t="s">
        <v>32</v>
      </c>
      <c r="D43" s="81">
        <f>(1/10.8+0.045/1)/(1/10.8+0.045/D16+D17)</f>
        <v>0.96252428981215887</v>
      </c>
      <c r="E43" s="25"/>
    </row>
    <row r="44" spans="1:62" ht="15.6" x14ac:dyDescent="0.6">
      <c r="A44" s="63" t="s">
        <v>215</v>
      </c>
      <c r="B44" s="63" t="s">
        <v>181</v>
      </c>
      <c r="C44" s="74" t="s">
        <v>33</v>
      </c>
      <c r="D44" s="75">
        <f>a_T!C4</f>
        <v>1.2182448979591838</v>
      </c>
      <c r="E44" s="25"/>
    </row>
    <row r="45" spans="1:62" ht="15.6" x14ac:dyDescent="0.6">
      <c r="A45" t="s">
        <v>217</v>
      </c>
      <c r="B45" s="76" t="s">
        <v>180</v>
      </c>
      <c r="C45" s="77" t="s">
        <v>34</v>
      </c>
      <c r="D45" s="78">
        <f>1-(D8/0.075)</f>
        <v>-0.33333333333333348</v>
      </c>
      <c r="E45" s="25"/>
    </row>
    <row r="46" spans="1:62" ht="15.6" x14ac:dyDescent="0.6">
      <c r="A46" s="63" t="s">
        <v>219</v>
      </c>
      <c r="B46" s="63" t="s">
        <v>182</v>
      </c>
      <c r="C46" s="74" t="s">
        <v>2</v>
      </c>
      <c r="D46" s="75">
        <f>a_u!$C$4</f>
        <v>1.0596499795918366</v>
      </c>
      <c r="E46" s="25"/>
    </row>
    <row r="47" spans="1:62" ht="15.6" x14ac:dyDescent="0.6">
      <c r="A47" t="s">
        <v>220</v>
      </c>
      <c r="B47" s="84" t="s">
        <v>185</v>
      </c>
      <c r="C47" s="77" t="s">
        <v>35</v>
      </c>
      <c r="D47" s="78">
        <f>100*(0.045-D15)</f>
        <v>1.5</v>
      </c>
      <c r="E47" s="25"/>
    </row>
    <row r="48" spans="1:62" ht="15.6" x14ac:dyDescent="0.6">
      <c r="A48" s="88" t="s">
        <v>221</v>
      </c>
      <c r="B48" s="85" t="s">
        <v>183</v>
      </c>
      <c r="C48" s="74" t="s">
        <v>17</v>
      </c>
      <c r="D48" s="75">
        <f>a_D!C4</f>
        <v>1.0277710408163265</v>
      </c>
      <c r="E48" s="25"/>
    </row>
    <row r="49" spans="1:12" ht="15.6" x14ac:dyDescent="0.6">
      <c r="A49" s="46" t="s">
        <v>222</v>
      </c>
      <c r="B49" s="84" t="s">
        <v>184</v>
      </c>
      <c r="C49" s="77" t="s">
        <v>36</v>
      </c>
      <c r="D49" s="78">
        <f>250*(D9-0.02)</f>
        <v>0.49999999999999956</v>
      </c>
      <c r="E49" s="25"/>
    </row>
    <row r="50" spans="1:12" ht="15.6" x14ac:dyDescent="0.6">
      <c r="C50" s="19"/>
      <c r="E50" s="25"/>
    </row>
    <row r="51" spans="1:12" ht="16.8" x14ac:dyDescent="0.6">
      <c r="A51" t="s">
        <v>223</v>
      </c>
      <c r="B51" t="s">
        <v>136</v>
      </c>
      <c r="C51" s="19" t="s">
        <v>38</v>
      </c>
      <c r="D51" s="21">
        <f>D42*D43*D44^D45*D46^D47*D48^D49</f>
        <v>6.677288482302755</v>
      </c>
      <c r="E51" s="25" t="s">
        <v>90</v>
      </c>
    </row>
    <row r="52" spans="1:12" ht="15.6" x14ac:dyDescent="0.6">
      <c r="A52" t="s">
        <v>224</v>
      </c>
      <c r="B52" t="s">
        <v>135</v>
      </c>
      <c r="C52" s="20" t="s">
        <v>41</v>
      </c>
      <c r="D52" s="33">
        <v>20</v>
      </c>
      <c r="E52" s="25" t="s">
        <v>40</v>
      </c>
    </row>
    <row r="53" spans="1:12" ht="15.6" x14ac:dyDescent="0.6">
      <c r="A53" t="s">
        <v>225</v>
      </c>
      <c r="B53" t="s">
        <v>137</v>
      </c>
      <c r="C53" s="20" t="s">
        <v>43</v>
      </c>
      <c r="D53" s="33">
        <v>33</v>
      </c>
      <c r="E53" s="25" t="s">
        <v>40</v>
      </c>
    </row>
    <row r="54" spans="1:12" ht="15.6" x14ac:dyDescent="0.6">
      <c r="A54" t="s">
        <v>226</v>
      </c>
      <c r="B54" t="s">
        <v>138</v>
      </c>
      <c r="C54" s="20" t="s">
        <v>44</v>
      </c>
      <c r="D54" s="33">
        <v>2</v>
      </c>
      <c r="E54" s="25" t="s">
        <v>40</v>
      </c>
    </row>
    <row r="55" spans="1:12" ht="15.6" x14ac:dyDescent="0.6">
      <c r="A55" t="s">
        <v>227</v>
      </c>
      <c r="B55" t="s">
        <v>139</v>
      </c>
      <c r="C55" s="20" t="s">
        <v>42</v>
      </c>
      <c r="D55" s="1">
        <f>D53-D54</f>
        <v>31</v>
      </c>
      <c r="E55" s="25" t="s">
        <v>40</v>
      </c>
    </row>
    <row r="56" spans="1:12" ht="15.6" x14ac:dyDescent="0.6">
      <c r="A56" t="s">
        <v>228</v>
      </c>
      <c r="B56" t="s">
        <v>140</v>
      </c>
      <c r="C56" s="20" t="s">
        <v>39</v>
      </c>
      <c r="D56" s="21">
        <f>(D53-D55)/(LN((D53-D52)/(D55-D52)))</f>
        <v>11.972170593928494</v>
      </c>
      <c r="E56" s="25" t="s">
        <v>40</v>
      </c>
    </row>
    <row r="57" spans="1:12" ht="16.5" x14ac:dyDescent="0.55000000000000004">
      <c r="A57" t="s">
        <v>229</v>
      </c>
      <c r="B57" t="s">
        <v>142</v>
      </c>
      <c r="C57" s="36" t="s">
        <v>45</v>
      </c>
      <c r="D57" s="37">
        <f>D51*D56</f>
        <v>79.941636815002468</v>
      </c>
      <c r="E57" s="36" t="s">
        <v>153</v>
      </c>
    </row>
    <row r="58" spans="1:12" ht="15.6" x14ac:dyDescent="0.6">
      <c r="C58" s="19"/>
      <c r="E58" s="25"/>
      <c r="L58" s="30" t="s">
        <v>264</v>
      </c>
    </row>
    <row r="59" spans="1:12" ht="15.6" x14ac:dyDescent="0.6">
      <c r="C59" s="19"/>
      <c r="E59" s="25"/>
    </row>
    <row r="60" spans="1:12" ht="15.6" x14ac:dyDescent="0.6">
      <c r="C60" s="19"/>
      <c r="E60" s="25"/>
    </row>
    <row r="61" spans="1:12" ht="15.6" x14ac:dyDescent="0.6">
      <c r="A61" s="32" t="s">
        <v>230</v>
      </c>
      <c r="B61" s="32" t="s">
        <v>107</v>
      </c>
      <c r="C61" s="19"/>
      <c r="E61" s="25"/>
    </row>
    <row r="62" spans="1:12" ht="15.6" x14ac:dyDescent="0.6">
      <c r="A62" t="s">
        <v>231</v>
      </c>
      <c r="B62" t="s">
        <v>104</v>
      </c>
      <c r="C62" s="20" t="s">
        <v>52</v>
      </c>
      <c r="D62" s="33">
        <v>29</v>
      </c>
      <c r="E62" s="25" t="s">
        <v>40</v>
      </c>
    </row>
    <row r="63" spans="1:12" x14ac:dyDescent="0.55000000000000004">
      <c r="C63" s="1" t="s">
        <v>19</v>
      </c>
      <c r="D63" s="21">
        <f>B_G!C6</f>
        <v>79.688609374999999</v>
      </c>
      <c r="E63" s="25"/>
      <c r="L63" t="s">
        <v>265</v>
      </c>
    </row>
    <row r="64" spans="1:12" x14ac:dyDescent="0.55000000000000004">
      <c r="C64" s="1" t="s">
        <v>50</v>
      </c>
      <c r="D64" s="21">
        <f>n_G!C6</f>
        <v>4.2917343749999989E-2</v>
      </c>
      <c r="E64" s="25"/>
    </row>
    <row r="65" spans="1:17" ht="15.6" x14ac:dyDescent="0.6">
      <c r="C65" s="20" t="s">
        <v>51</v>
      </c>
      <c r="D65" s="11">
        <f>((D62-D52)/(9))^1.1</f>
        <v>1</v>
      </c>
      <c r="E65" s="25"/>
    </row>
    <row r="66" spans="1:17" x14ac:dyDescent="0.55000000000000004">
      <c r="A66" t="s">
        <v>232</v>
      </c>
      <c r="B66" t="s">
        <v>105</v>
      </c>
      <c r="C66" s="1" t="s">
        <v>53</v>
      </c>
      <c r="D66" s="12">
        <f>D65*(B_G!C6/((D42*D43)*(D44^D45)*(D46^D47)*(D48^D49)))^(1/(1-n_G!C6))</f>
        <v>13.337720836085239</v>
      </c>
      <c r="E66" s="25"/>
    </row>
    <row r="67" spans="1:17" ht="16.5" x14ac:dyDescent="0.55000000000000004">
      <c r="A67" t="s">
        <v>233</v>
      </c>
      <c r="B67" t="s">
        <v>106</v>
      </c>
      <c r="C67" s="36" t="s">
        <v>46</v>
      </c>
      <c r="D67" s="37">
        <f>D65*B_G!C6*(D66/D65)^n_G!C6</f>
        <v>89.059809718961446</v>
      </c>
      <c r="E67" s="36" t="s">
        <v>153</v>
      </c>
    </row>
    <row r="68" spans="1:17" x14ac:dyDescent="0.55000000000000004">
      <c r="E68" s="25"/>
    </row>
    <row r="69" spans="1:17" x14ac:dyDescent="0.55000000000000004">
      <c r="A69" s="32" t="s">
        <v>234</v>
      </c>
      <c r="B69" s="32" t="s">
        <v>145</v>
      </c>
      <c r="E69" s="25"/>
      <c r="L69" t="s">
        <v>266</v>
      </c>
    </row>
    <row r="70" spans="1:17" ht="15.6" x14ac:dyDescent="0.6">
      <c r="A70" t="s">
        <v>235</v>
      </c>
      <c r="B70" t="s">
        <v>98</v>
      </c>
      <c r="C70" s="20" t="s">
        <v>79</v>
      </c>
      <c r="D70" s="33">
        <v>20</v>
      </c>
      <c r="E70" s="70" t="s">
        <v>40</v>
      </c>
    </row>
    <row r="71" spans="1:17" x14ac:dyDescent="0.55000000000000004">
      <c r="A71" t="s">
        <v>236</v>
      </c>
      <c r="B71" t="s">
        <v>99</v>
      </c>
      <c r="C71" s="1" t="s">
        <v>64</v>
      </c>
      <c r="D71" s="21">
        <f>1/10.8+D17+D15/D16</f>
        <v>0.13044973544973545</v>
      </c>
      <c r="E71" s="25" t="s">
        <v>9</v>
      </c>
    </row>
    <row r="72" spans="1:17" x14ac:dyDescent="0.55000000000000004">
      <c r="A72" t="s">
        <v>237</v>
      </c>
      <c r="B72" t="s">
        <v>100</v>
      </c>
      <c r="C72" s="1" t="s">
        <v>76</v>
      </c>
      <c r="D72" s="21">
        <f>D19/D20+D22+D23/D24+0.17</f>
        <v>1.6736098310291858</v>
      </c>
      <c r="E72" s="25" t="s">
        <v>9</v>
      </c>
    </row>
    <row r="73" spans="1:17" ht="16.5" x14ac:dyDescent="0.55000000000000004">
      <c r="A73" t="s">
        <v>238</v>
      </c>
      <c r="B73" t="s">
        <v>101</v>
      </c>
      <c r="C73" s="1" t="s">
        <v>78</v>
      </c>
      <c r="D73" s="21">
        <f>1/D72*(D71*D57+D52-D70)</f>
        <v>6.2310612548941489</v>
      </c>
      <c r="E73" s="10" t="s">
        <v>91</v>
      </c>
    </row>
    <row r="74" spans="1:17" x14ac:dyDescent="0.55000000000000004">
      <c r="C74" s="25"/>
      <c r="D74" s="21"/>
      <c r="E74" s="10"/>
      <c r="L74" t="s">
        <v>267</v>
      </c>
    </row>
    <row r="75" spans="1:17" x14ac:dyDescent="0.55000000000000004">
      <c r="A75" s="32" t="s">
        <v>239</v>
      </c>
      <c r="B75" s="32" t="s">
        <v>146</v>
      </c>
      <c r="C75" s="25"/>
      <c r="D75" s="21"/>
      <c r="E75" s="10"/>
    </row>
    <row r="76" spans="1:17" ht="16.5" x14ac:dyDescent="0.55000000000000004">
      <c r="A76" t="s">
        <v>240</v>
      </c>
      <c r="B76" t="s">
        <v>143</v>
      </c>
      <c r="C76" s="36" t="s">
        <v>144</v>
      </c>
      <c r="D76" s="37">
        <f>D57+D73</f>
        <v>86.172698069896612</v>
      </c>
      <c r="E76" s="36" t="s">
        <v>91</v>
      </c>
    </row>
    <row r="77" spans="1:17" x14ac:dyDescent="0.55000000000000004">
      <c r="E77" s="25"/>
    </row>
    <row r="80" spans="1:17" x14ac:dyDescent="0.55000000000000004">
      <c r="Q80" s="9"/>
    </row>
    <row r="81" spans="1:17" x14ac:dyDescent="0.55000000000000004">
      <c r="A81" s="41" t="s">
        <v>241</v>
      </c>
      <c r="B81" s="41" t="s">
        <v>102</v>
      </c>
      <c r="C81" s="65" t="s">
        <v>278</v>
      </c>
      <c r="D81" s="63">
        <v>1</v>
      </c>
      <c r="E81" s="50"/>
      <c r="F81" s="49"/>
      <c r="G81" s="50"/>
      <c r="I81" s="63" t="s">
        <v>269</v>
      </c>
      <c r="J81" s="92" t="s">
        <v>268</v>
      </c>
      <c r="K81" s="62"/>
      <c r="L81" s="62"/>
      <c r="M81" s="62"/>
      <c r="N81" s="62"/>
      <c r="O81" s="62"/>
      <c r="P81" s="50"/>
    </row>
    <row r="82" spans="1:17" ht="28.8" x14ac:dyDescent="0.55000000000000004">
      <c r="A82" s="42" t="s">
        <v>242</v>
      </c>
      <c r="B82" s="42" t="s">
        <v>167</v>
      </c>
      <c r="C82" s="2" t="s">
        <v>84</v>
      </c>
      <c r="D82" s="51">
        <f>D27/D8</f>
        <v>270</v>
      </c>
      <c r="E82" s="52" t="s">
        <v>13</v>
      </c>
      <c r="F82" s="51"/>
      <c r="G82" s="52"/>
      <c r="I82" s="90" t="s">
        <v>271</v>
      </c>
      <c r="J82" s="91" t="s">
        <v>270</v>
      </c>
      <c r="K82" s="9"/>
      <c r="L82" s="9"/>
      <c r="M82" s="9"/>
      <c r="N82" s="9"/>
      <c r="O82" s="9"/>
      <c r="P82" s="52"/>
      <c r="Q82" s="9"/>
    </row>
    <row r="83" spans="1:17" ht="28.8" x14ac:dyDescent="0.55000000000000004">
      <c r="A83" s="42" t="s">
        <v>243</v>
      </c>
      <c r="B83" s="43" t="s">
        <v>168</v>
      </c>
      <c r="C83" s="2" t="s">
        <v>80</v>
      </c>
      <c r="D83" s="53">
        <f>(D76*D27)/(4186*D54)</f>
        <v>0.27791003916474061</v>
      </c>
      <c r="E83" s="52" t="s">
        <v>83</v>
      </c>
      <c r="F83" s="51"/>
      <c r="G83" s="52"/>
      <c r="I83" s="90" t="s">
        <v>147</v>
      </c>
      <c r="J83" s="91" t="s">
        <v>272</v>
      </c>
      <c r="K83" s="9"/>
      <c r="L83" s="9"/>
      <c r="M83" s="9"/>
      <c r="N83" s="9"/>
      <c r="O83" s="9">
        <f>D76*D27/(4186*D54)</f>
        <v>0.27791003916474061</v>
      </c>
      <c r="P83" s="52" t="s">
        <v>83</v>
      </c>
      <c r="Q83" s="9"/>
    </row>
    <row r="84" spans="1:17" ht="15.6" x14ac:dyDescent="0.6">
      <c r="A84" s="42" t="s">
        <v>244</v>
      </c>
      <c r="B84" s="42" t="s">
        <v>169</v>
      </c>
      <c r="C84" s="47" t="s">
        <v>110</v>
      </c>
      <c r="D84" s="54">
        <f>((D83*3600)/D87)*1000</f>
        <v>1004.7849056042355</v>
      </c>
      <c r="E84" s="52" t="s">
        <v>170</v>
      </c>
      <c r="F84" s="51"/>
      <c r="G84" s="52"/>
      <c r="I84" s="51"/>
      <c r="J84" s="9"/>
      <c r="K84" s="9"/>
      <c r="L84" s="9"/>
      <c r="M84" s="9"/>
      <c r="N84" s="9"/>
      <c r="O84" s="9"/>
      <c r="P84" s="52"/>
      <c r="Q84" s="9"/>
    </row>
    <row r="85" spans="1:17" ht="28.8" x14ac:dyDescent="0.55000000000000004">
      <c r="A85" s="42" t="s">
        <v>245</v>
      </c>
      <c r="B85" s="44" t="s">
        <v>171</v>
      </c>
      <c r="C85" s="2" t="s">
        <v>77</v>
      </c>
      <c r="D85" s="55">
        <f>(D83/D87)/D12</f>
        <v>1.0968208811456623</v>
      </c>
      <c r="E85" s="52" t="s">
        <v>92</v>
      </c>
      <c r="F85" s="51"/>
      <c r="G85" s="52"/>
      <c r="I85" s="90" t="s">
        <v>154</v>
      </c>
      <c r="J85" s="91" t="s">
        <v>273</v>
      </c>
      <c r="K85" s="9"/>
      <c r="L85" s="9"/>
      <c r="M85" s="9"/>
      <c r="N85" s="9"/>
      <c r="O85" s="9"/>
      <c r="P85" s="52"/>
      <c r="Q85" s="9"/>
    </row>
    <row r="86" spans="1:17" ht="15.6" x14ac:dyDescent="0.6">
      <c r="A86" s="42" t="s">
        <v>246</v>
      </c>
      <c r="B86" s="42" t="s">
        <v>172</v>
      </c>
      <c r="C86" s="47" t="s">
        <v>117</v>
      </c>
      <c r="D86" s="51">
        <f>$D$53-$D$54/2</f>
        <v>32</v>
      </c>
      <c r="E86" s="52" t="s">
        <v>40</v>
      </c>
      <c r="F86" s="51"/>
      <c r="G86" s="52"/>
      <c r="I86" s="51"/>
      <c r="J86" s="9"/>
      <c r="K86" s="9"/>
      <c r="L86" s="9"/>
      <c r="M86" s="9"/>
      <c r="N86" s="9"/>
      <c r="O86" s="9"/>
      <c r="P86" s="52"/>
      <c r="Q86" s="9"/>
    </row>
    <row r="87" spans="1:17" ht="16.8" x14ac:dyDescent="0.6">
      <c r="A87" s="42" t="s">
        <v>250</v>
      </c>
      <c r="B87" s="42" t="s">
        <v>115</v>
      </c>
      <c r="C87" s="47" t="s">
        <v>116</v>
      </c>
      <c r="D87" s="54">
        <f xml:space="preserve"> 1000.8576 + 0.007136 *D86 - 0.005718 *D86^2 + 0.00001468 *D86^3</f>
        <v>995.71175424</v>
      </c>
      <c r="E87" s="52" t="s">
        <v>118</v>
      </c>
      <c r="F87" s="51"/>
      <c r="G87" s="52"/>
      <c r="I87" s="51"/>
      <c r="J87" s="9"/>
      <c r="K87" s="9"/>
      <c r="L87" s="9"/>
      <c r="M87" s="9"/>
      <c r="N87" s="9"/>
      <c r="O87" s="9"/>
      <c r="P87" s="52"/>
      <c r="Q87" s="9"/>
    </row>
    <row r="88" spans="1:17" x14ac:dyDescent="0.55000000000000004">
      <c r="A88" s="42" t="s">
        <v>247</v>
      </c>
      <c r="B88" s="42" t="s">
        <v>122</v>
      </c>
      <c r="C88" s="48" t="s">
        <v>123</v>
      </c>
      <c r="D88" s="51">
        <f>10 ^-6*( 1.67952 - 0.042328*D86 + 0.000499 *D86^2 - 0.00000214*D86^3 )</f>
        <v>7.6587647999999996E-7</v>
      </c>
      <c r="E88" s="52" t="s">
        <v>113</v>
      </c>
      <c r="F88" s="51"/>
      <c r="G88" s="52"/>
      <c r="I88" s="51"/>
      <c r="J88" s="9"/>
      <c r="K88" s="9"/>
      <c r="L88" s="9"/>
      <c r="M88" s="9"/>
      <c r="N88" s="9"/>
      <c r="O88" s="9"/>
      <c r="P88" s="52"/>
      <c r="Q88" s="9"/>
    </row>
    <row r="89" spans="1:17" x14ac:dyDescent="0.55000000000000004">
      <c r="A89" s="42" t="s">
        <v>248</v>
      </c>
      <c r="B89" s="42" t="s">
        <v>121</v>
      </c>
      <c r="C89" s="2" t="s">
        <v>120</v>
      </c>
      <c r="D89" s="51">
        <f>($D$9-$D$10*2)</f>
        <v>1.7999999999999999E-2</v>
      </c>
      <c r="E89" s="52" t="s">
        <v>13</v>
      </c>
      <c r="F89" s="51">
        <f>D89*1000</f>
        <v>18</v>
      </c>
      <c r="G89" s="52" t="s">
        <v>125</v>
      </c>
      <c r="I89" s="55"/>
      <c r="J89" s="9"/>
      <c r="K89" s="9"/>
      <c r="L89" s="9"/>
      <c r="M89" s="9"/>
      <c r="N89" s="9"/>
      <c r="O89" s="9"/>
      <c r="P89" s="52"/>
      <c r="Q89" s="9"/>
    </row>
    <row r="90" spans="1:17" ht="15.6" x14ac:dyDescent="0.6">
      <c r="A90" s="42" t="s">
        <v>249</v>
      </c>
      <c r="B90" s="42" t="s">
        <v>119</v>
      </c>
      <c r="C90" s="47" t="s">
        <v>109</v>
      </c>
      <c r="D90" s="56">
        <f>D85*D89/D88</f>
        <v>25778.015615027012</v>
      </c>
      <c r="E90" s="52"/>
      <c r="F90" s="51"/>
      <c r="G90" s="52"/>
      <c r="I90" s="51"/>
      <c r="J90" s="9"/>
      <c r="K90" s="9"/>
      <c r="L90" s="9"/>
      <c r="M90" s="9"/>
      <c r="N90" s="9"/>
      <c r="O90" s="9"/>
      <c r="P90" s="52"/>
      <c r="Q90" s="9"/>
    </row>
    <row r="91" spans="1:17" ht="15.6" x14ac:dyDescent="0.6">
      <c r="A91" s="42" t="s">
        <v>251</v>
      </c>
      <c r="B91" s="44" t="s">
        <v>130</v>
      </c>
      <c r="C91" s="47" t="s">
        <v>108</v>
      </c>
      <c r="D91" s="53">
        <f>0.316*D90^-0.25</f>
        <v>2.4938751744493271E-2</v>
      </c>
      <c r="E91" s="52"/>
      <c r="F91" s="51"/>
      <c r="G91" s="52"/>
      <c r="I91" s="51"/>
      <c r="J91" s="9"/>
      <c r="K91" s="9"/>
      <c r="L91" s="9"/>
      <c r="M91" s="9"/>
      <c r="N91" s="9"/>
      <c r="O91" s="9"/>
      <c r="P91" s="52"/>
      <c r="Q91" s="9"/>
    </row>
    <row r="92" spans="1:17" x14ac:dyDescent="0.55000000000000004">
      <c r="A92" s="89" t="s">
        <v>252</v>
      </c>
      <c r="B92" s="44" t="s">
        <v>124</v>
      </c>
      <c r="C92" s="2" t="s">
        <v>86</v>
      </c>
      <c r="D92" s="55">
        <f>14.68*(D88)^(0.25)*D87*(D84)^(1.75)/((F89)^4.75)</f>
        <v>84.524556823063477</v>
      </c>
      <c r="E92" s="52" t="s">
        <v>279</v>
      </c>
      <c r="F92" s="51">
        <f>D92/1000</f>
        <v>8.4524556823063479E-2</v>
      </c>
      <c r="G92" s="52" t="s">
        <v>283</v>
      </c>
      <c r="H92" s="93" t="s">
        <v>281</v>
      </c>
      <c r="I92" s="51"/>
      <c r="J92" s="9"/>
      <c r="K92" s="9"/>
      <c r="L92" s="9"/>
      <c r="M92" s="9"/>
      <c r="N92" s="9"/>
      <c r="O92" s="9"/>
      <c r="P92" s="52"/>
      <c r="Q92" s="9"/>
    </row>
    <row r="93" spans="1:17" x14ac:dyDescent="0.55000000000000004">
      <c r="A93" s="42" t="s">
        <v>253</v>
      </c>
      <c r="B93" s="45" t="s">
        <v>85</v>
      </c>
      <c r="C93" s="2" t="s">
        <v>86</v>
      </c>
      <c r="D93" s="55">
        <f>F92*100</f>
        <v>8.452455682306347</v>
      </c>
      <c r="E93" s="52" t="s">
        <v>280</v>
      </c>
      <c r="F93" s="51">
        <f>D93/100*D82</f>
        <v>22.821630342227134</v>
      </c>
      <c r="G93" s="52" t="s">
        <v>282</v>
      </c>
      <c r="I93" s="51"/>
      <c r="J93" s="9"/>
      <c r="K93" s="9"/>
      <c r="L93" s="9"/>
      <c r="M93" s="9"/>
      <c r="N93" s="9"/>
      <c r="O93" s="9"/>
      <c r="P93" s="52"/>
      <c r="Q93" s="9"/>
    </row>
    <row r="94" spans="1:17" ht="28.8" x14ac:dyDescent="0.55000000000000004">
      <c r="A94" s="42" t="s">
        <v>255</v>
      </c>
      <c r="B94" s="42" t="s">
        <v>93</v>
      </c>
      <c r="C94" s="2" t="s">
        <v>94</v>
      </c>
      <c r="D94" s="57">
        <v>0.2</v>
      </c>
      <c r="E94" s="58" t="s">
        <v>157</v>
      </c>
      <c r="F94" s="51">
        <f>F93*D94</f>
        <v>4.5643260684454274</v>
      </c>
      <c r="G94" s="52" t="s">
        <v>282</v>
      </c>
      <c r="I94" s="90" t="s">
        <v>156</v>
      </c>
      <c r="J94" s="91" t="s">
        <v>274</v>
      </c>
      <c r="K94" s="9"/>
      <c r="L94" s="9"/>
      <c r="M94" s="9"/>
      <c r="N94" s="9"/>
      <c r="O94" s="9"/>
      <c r="P94" s="52"/>
      <c r="Q94" s="9"/>
    </row>
    <row r="95" spans="1:17" ht="28.8" x14ac:dyDescent="0.55000000000000004">
      <c r="A95" s="46" t="s">
        <v>254</v>
      </c>
      <c r="B95" s="46" t="s">
        <v>95</v>
      </c>
      <c r="C95" s="66" t="s">
        <v>96</v>
      </c>
      <c r="D95" s="67">
        <f>F93+F94</f>
        <v>27.385956410672563</v>
      </c>
      <c r="E95" s="68" t="s">
        <v>282</v>
      </c>
      <c r="F95" s="51"/>
      <c r="G95" s="52"/>
      <c r="I95" s="90" t="s">
        <v>155</v>
      </c>
      <c r="J95" s="91" t="s">
        <v>275</v>
      </c>
      <c r="K95" s="9"/>
      <c r="L95" s="9"/>
      <c r="M95" s="9"/>
      <c r="N95" s="9"/>
      <c r="O95" s="9"/>
      <c r="P95" s="52"/>
      <c r="Q95" s="9"/>
    </row>
    <row r="96" spans="1:17" x14ac:dyDescent="0.55000000000000004">
      <c r="D96" s="59">
        <f>D95/10</f>
        <v>2.7385956410672563</v>
      </c>
      <c r="E96" s="60" t="s">
        <v>97</v>
      </c>
      <c r="F96" s="61"/>
      <c r="G96" s="60"/>
      <c r="I96" s="61"/>
      <c r="J96" s="64"/>
      <c r="K96" s="64"/>
      <c r="L96" s="64"/>
      <c r="M96" s="64"/>
      <c r="N96" s="64"/>
      <c r="O96" s="64"/>
      <c r="P96" s="60"/>
      <c r="Q96" s="9"/>
    </row>
    <row r="97" spans="1:20" x14ac:dyDescent="0.55000000000000004">
      <c r="I97" s="51"/>
      <c r="Q97" s="9"/>
    </row>
    <row r="98" spans="1:20" x14ac:dyDescent="0.55000000000000004">
      <c r="I98" s="51"/>
      <c r="Q98" s="9"/>
      <c r="T98" s="31"/>
    </row>
    <row r="99" spans="1:20" x14ac:dyDescent="0.55000000000000004">
      <c r="A99" s="41" t="s">
        <v>256</v>
      </c>
      <c r="B99" s="41" t="s">
        <v>103</v>
      </c>
      <c r="C99" s="65" t="s">
        <v>149</v>
      </c>
      <c r="D99" s="63">
        <v>2</v>
      </c>
      <c r="E99" s="50"/>
      <c r="F99" s="49"/>
      <c r="G99" s="50"/>
      <c r="I99" s="49"/>
      <c r="J99" s="62"/>
      <c r="K99" s="62"/>
      <c r="L99" s="62"/>
      <c r="M99" s="62"/>
      <c r="N99" s="62"/>
      <c r="O99" s="62"/>
      <c r="P99" s="50"/>
      <c r="Q99" s="9"/>
    </row>
    <row r="100" spans="1:20" x14ac:dyDescent="0.55000000000000004">
      <c r="A100" s="42" t="s">
        <v>242</v>
      </c>
      <c r="B100" s="42" t="s">
        <v>167</v>
      </c>
      <c r="C100" s="2" t="s">
        <v>84</v>
      </c>
      <c r="D100" s="51">
        <f>$D$82/D99</f>
        <v>135</v>
      </c>
      <c r="E100" s="52" t="s">
        <v>13</v>
      </c>
      <c r="F100" s="51"/>
      <c r="G100" s="52"/>
      <c r="I100" s="51" t="s">
        <v>152</v>
      </c>
      <c r="J100" s="9"/>
      <c r="K100" s="9"/>
      <c r="L100" s="9"/>
      <c r="M100" s="9"/>
      <c r="N100" s="9"/>
      <c r="O100" s="9"/>
      <c r="P100" s="52"/>
      <c r="Q100" s="9"/>
      <c r="T100" s="17"/>
    </row>
    <row r="101" spans="1:20" x14ac:dyDescent="0.55000000000000004">
      <c r="A101" s="42" t="s">
        <v>243</v>
      </c>
      <c r="B101" s="43" t="s">
        <v>168</v>
      </c>
      <c r="C101" s="2" t="s">
        <v>80</v>
      </c>
      <c r="D101" s="53">
        <f>$D$83/D99</f>
        <v>0.1389550195823703</v>
      </c>
      <c r="E101" s="52" t="s">
        <v>83</v>
      </c>
      <c r="F101" s="51"/>
      <c r="G101" s="52"/>
      <c r="I101" s="51"/>
      <c r="J101" s="9"/>
      <c r="K101" s="9"/>
      <c r="L101" s="9"/>
      <c r="M101" s="9"/>
      <c r="N101" s="9"/>
      <c r="O101" s="9"/>
      <c r="P101" s="52"/>
      <c r="Q101" s="9"/>
    </row>
    <row r="102" spans="1:20" ht="15.6" x14ac:dyDescent="0.6">
      <c r="A102" s="42" t="s">
        <v>244</v>
      </c>
      <c r="B102" s="42" t="s">
        <v>169</v>
      </c>
      <c r="C102" s="47" t="s">
        <v>110</v>
      </c>
      <c r="D102" s="54">
        <f>((D101*3600)/D105)*1000</f>
        <v>502.39245280211776</v>
      </c>
      <c r="E102" s="52" t="s">
        <v>170</v>
      </c>
      <c r="F102" s="51"/>
      <c r="G102" s="52"/>
      <c r="I102" s="51"/>
      <c r="J102" s="9"/>
      <c r="K102" s="9"/>
      <c r="L102" s="9"/>
      <c r="M102" s="9"/>
      <c r="N102" s="9"/>
      <c r="O102" s="9"/>
      <c r="P102" s="52"/>
      <c r="Q102" s="9"/>
    </row>
    <row r="103" spans="1:20" x14ac:dyDescent="0.55000000000000004">
      <c r="A103" s="42" t="s">
        <v>245</v>
      </c>
      <c r="B103" s="44" t="s">
        <v>171</v>
      </c>
      <c r="C103" s="2" t="s">
        <v>77</v>
      </c>
      <c r="D103" s="55">
        <f>(D101*1/1000)/$D$12</f>
        <v>0.54605872182630488</v>
      </c>
      <c r="E103" s="52" t="s">
        <v>92</v>
      </c>
      <c r="F103" s="51"/>
      <c r="G103" s="52"/>
      <c r="I103" s="51" t="s">
        <v>151</v>
      </c>
      <c r="J103" s="9"/>
      <c r="K103" s="9"/>
      <c r="L103" s="9"/>
      <c r="M103" s="9"/>
      <c r="N103" s="9"/>
      <c r="O103" s="9"/>
      <c r="P103" s="52"/>
      <c r="Q103" s="9"/>
    </row>
    <row r="104" spans="1:20" ht="15.6" x14ac:dyDescent="0.6">
      <c r="A104" s="42" t="s">
        <v>246</v>
      </c>
      <c r="B104" s="42" t="s">
        <v>172</v>
      </c>
      <c r="C104" s="47" t="s">
        <v>117</v>
      </c>
      <c r="D104" s="51">
        <f>$D$53-$D$54/2</f>
        <v>32</v>
      </c>
      <c r="E104" s="52" t="s">
        <v>40</v>
      </c>
      <c r="F104" s="51"/>
      <c r="G104" s="52"/>
      <c r="I104" s="51"/>
      <c r="J104" s="9"/>
      <c r="K104" s="9"/>
      <c r="L104" s="9"/>
      <c r="M104" s="9"/>
      <c r="N104" s="9"/>
      <c r="O104" s="9"/>
      <c r="P104" s="52"/>
      <c r="Q104" s="9"/>
    </row>
    <row r="105" spans="1:20" ht="16.8" x14ac:dyDescent="0.6">
      <c r="A105" s="42" t="s">
        <v>250</v>
      </c>
      <c r="B105" s="42" t="s">
        <v>115</v>
      </c>
      <c r="C105" s="47" t="s">
        <v>116</v>
      </c>
      <c r="D105" s="54">
        <f xml:space="preserve"> 1000.8576 + 0.007136 *D104 - 0.005718 *D104^2 + 0.00001468 *D104^3</f>
        <v>995.71175424</v>
      </c>
      <c r="E105" s="52" t="s">
        <v>118</v>
      </c>
      <c r="F105" s="51"/>
      <c r="G105" s="52"/>
      <c r="I105" s="51"/>
      <c r="J105" s="9"/>
      <c r="K105" s="9"/>
      <c r="L105" s="9"/>
      <c r="M105" s="9"/>
      <c r="N105" s="9"/>
      <c r="O105" s="9"/>
      <c r="P105" s="52"/>
      <c r="Q105" s="9"/>
    </row>
    <row r="106" spans="1:20" x14ac:dyDescent="0.55000000000000004">
      <c r="A106" s="42" t="s">
        <v>247</v>
      </c>
      <c r="B106" s="42" t="s">
        <v>122</v>
      </c>
      <c r="C106" s="48" t="s">
        <v>123</v>
      </c>
      <c r="D106" s="51">
        <f>10 ^-6*( 1.67952 - 0.042328*D104 + 0.000499 *D104^2 - 0.00000214*D104^3 )</f>
        <v>7.6587647999999996E-7</v>
      </c>
      <c r="E106" s="52" t="s">
        <v>113</v>
      </c>
      <c r="F106" s="51"/>
      <c r="G106" s="52"/>
      <c r="I106" s="51"/>
      <c r="J106" s="9"/>
      <c r="K106" s="9"/>
      <c r="L106" s="9"/>
      <c r="M106" s="9"/>
      <c r="N106" s="9"/>
      <c r="O106" s="9"/>
      <c r="P106" s="52"/>
      <c r="Q106" s="9"/>
    </row>
    <row r="107" spans="1:20" x14ac:dyDescent="0.55000000000000004">
      <c r="A107" s="42" t="s">
        <v>248</v>
      </c>
      <c r="B107" s="42" t="s">
        <v>121</v>
      </c>
      <c r="C107" s="2" t="s">
        <v>120</v>
      </c>
      <c r="D107" s="51">
        <f>($D$9-$D$10*2)</f>
        <v>1.7999999999999999E-2</v>
      </c>
      <c r="E107" s="52" t="s">
        <v>13</v>
      </c>
      <c r="F107" s="51">
        <f>D107*1000</f>
        <v>18</v>
      </c>
      <c r="G107" s="52" t="s">
        <v>125</v>
      </c>
      <c r="I107" s="55"/>
      <c r="J107" s="9"/>
      <c r="K107" s="9"/>
      <c r="L107" s="9"/>
      <c r="M107" s="9"/>
      <c r="N107" s="9"/>
      <c r="O107" s="9"/>
      <c r="P107" s="52"/>
      <c r="Q107" s="9"/>
    </row>
    <row r="108" spans="1:20" ht="15.6" x14ac:dyDescent="0.6">
      <c r="A108" s="42" t="s">
        <v>249</v>
      </c>
      <c r="B108" s="42" t="s">
        <v>119</v>
      </c>
      <c r="C108" s="47" t="s">
        <v>109</v>
      </c>
      <c r="D108" s="56">
        <f>D103*D107/D106</f>
        <v>12833.736574432327</v>
      </c>
      <c r="E108" s="52"/>
      <c r="F108" s="51"/>
      <c r="G108" s="52"/>
      <c r="I108" s="51"/>
      <c r="J108" s="9"/>
      <c r="K108" s="9"/>
      <c r="L108" s="9"/>
      <c r="M108" s="9"/>
      <c r="N108" s="9"/>
      <c r="O108" s="9"/>
      <c r="P108" s="52"/>
      <c r="Q108" s="9"/>
    </row>
    <row r="109" spans="1:20" ht="15.6" x14ac:dyDescent="0.6">
      <c r="A109" s="42" t="s">
        <v>251</v>
      </c>
      <c r="B109" s="44" t="s">
        <v>130</v>
      </c>
      <c r="C109" s="47" t="s">
        <v>108</v>
      </c>
      <c r="D109" s="53">
        <f>0.316*D108^-0.25</f>
        <v>2.9689220994695936E-2</v>
      </c>
      <c r="E109" s="52"/>
      <c r="F109" s="51"/>
      <c r="G109" s="52"/>
      <c r="I109" s="51"/>
      <c r="J109" s="9"/>
      <c r="K109" s="9"/>
      <c r="L109" s="9"/>
      <c r="M109" s="9"/>
      <c r="N109" s="9"/>
      <c r="O109" s="9"/>
      <c r="P109" s="52"/>
      <c r="Q109" s="9"/>
    </row>
    <row r="110" spans="1:20" x14ac:dyDescent="0.55000000000000004">
      <c r="A110" s="89" t="s">
        <v>252</v>
      </c>
      <c r="B110" s="44" t="s">
        <v>124</v>
      </c>
      <c r="C110" s="2" t="s">
        <v>86</v>
      </c>
      <c r="D110" s="55">
        <f>14.68*(D106)^(0.25)*D105*(D102)^(1.75)/((F107)^4.75)</f>
        <v>25.129301091609683</v>
      </c>
      <c r="E110" s="52" t="s">
        <v>279</v>
      </c>
      <c r="F110" s="51">
        <f>D110/1000</f>
        <v>2.5129301091609685E-2</v>
      </c>
      <c r="G110" s="52" t="s">
        <v>283</v>
      </c>
      <c r="I110" s="51"/>
      <c r="J110" s="9"/>
      <c r="K110" s="9"/>
      <c r="L110" s="9"/>
      <c r="M110" s="9"/>
      <c r="N110" s="9"/>
      <c r="O110" s="9"/>
      <c r="P110" s="52"/>
      <c r="Q110" s="9"/>
    </row>
    <row r="111" spans="1:20" x14ac:dyDescent="0.55000000000000004">
      <c r="A111" s="42" t="s">
        <v>253</v>
      </c>
      <c r="B111" s="45" t="s">
        <v>85</v>
      </c>
      <c r="C111" s="2" t="s">
        <v>86</v>
      </c>
      <c r="D111" s="55">
        <f>F110*100</f>
        <v>2.5129301091609686</v>
      </c>
      <c r="E111" s="52" t="s">
        <v>280</v>
      </c>
      <c r="F111" s="51">
        <f>D111/100*D100</f>
        <v>3.3924556473673073</v>
      </c>
      <c r="G111" s="52" t="s">
        <v>282</v>
      </c>
      <c r="I111" s="51"/>
      <c r="J111" s="9"/>
      <c r="K111" s="9"/>
      <c r="L111" s="9"/>
      <c r="M111" s="9"/>
      <c r="N111" s="9"/>
      <c r="O111" s="9"/>
      <c r="P111" s="52"/>
      <c r="Q111" s="9"/>
    </row>
    <row r="112" spans="1:20" x14ac:dyDescent="0.55000000000000004">
      <c r="A112" s="42" t="s">
        <v>255</v>
      </c>
      <c r="B112" s="42" t="s">
        <v>93</v>
      </c>
      <c r="C112" s="2" t="s">
        <v>94</v>
      </c>
      <c r="D112" s="57">
        <v>0.2</v>
      </c>
      <c r="E112" s="58" t="s">
        <v>157</v>
      </c>
      <c r="F112" s="51">
        <f>F111*D112</f>
        <v>0.67849112947346146</v>
      </c>
      <c r="G112" s="52" t="s">
        <v>282</v>
      </c>
      <c r="I112" s="51"/>
      <c r="J112" s="9"/>
      <c r="K112" s="9"/>
      <c r="L112" s="9"/>
      <c r="M112" s="9"/>
      <c r="N112" s="9"/>
      <c r="O112" s="9"/>
      <c r="P112" s="52"/>
      <c r="Q112" s="9"/>
    </row>
    <row r="113" spans="1:18" x14ac:dyDescent="0.55000000000000004">
      <c r="A113" s="46" t="s">
        <v>254</v>
      </c>
      <c r="B113" s="46" t="s">
        <v>95</v>
      </c>
      <c r="C113" s="66" t="s">
        <v>96</v>
      </c>
      <c r="D113" s="67">
        <f>F111+F112</f>
        <v>4.0709467768407688</v>
      </c>
      <c r="E113" s="68" t="s">
        <v>282</v>
      </c>
      <c r="F113" s="51"/>
      <c r="G113" s="52"/>
      <c r="I113" s="51" t="s">
        <v>150</v>
      </c>
      <c r="J113" s="9"/>
      <c r="K113" s="9"/>
      <c r="L113" s="9"/>
      <c r="M113" s="9"/>
      <c r="N113" s="9"/>
      <c r="O113" s="9"/>
      <c r="P113" s="52"/>
      <c r="Q113" s="9"/>
    </row>
    <row r="114" spans="1:18" x14ac:dyDescent="0.55000000000000004">
      <c r="C114" s="25"/>
      <c r="D114" s="59">
        <f>D113/10</f>
        <v>0.40709467768407687</v>
      </c>
      <c r="E114" s="60" t="s">
        <v>97</v>
      </c>
      <c r="F114" s="61"/>
      <c r="G114" s="60"/>
      <c r="I114" s="61"/>
      <c r="J114" s="64"/>
      <c r="K114" s="64"/>
      <c r="L114" s="64"/>
      <c r="M114" s="64"/>
      <c r="N114" s="64"/>
      <c r="O114" s="64"/>
      <c r="P114" s="60"/>
      <c r="Q114" s="9"/>
    </row>
    <row r="115" spans="1:18" x14ac:dyDescent="0.55000000000000004">
      <c r="I115" s="51"/>
      <c r="Q115" s="9"/>
      <c r="R115" s="9"/>
    </row>
    <row r="116" spans="1:18" x14ac:dyDescent="0.55000000000000004">
      <c r="B116" s="30"/>
      <c r="C116" s="24"/>
      <c r="I116" s="51"/>
      <c r="Q116" s="9"/>
      <c r="R116" s="9"/>
    </row>
    <row r="117" spans="1:18" x14ac:dyDescent="0.55000000000000004">
      <c r="A117" s="41" t="s">
        <v>257</v>
      </c>
      <c r="B117" s="41" t="s">
        <v>258</v>
      </c>
      <c r="C117" s="65" t="s">
        <v>149</v>
      </c>
      <c r="D117" s="63">
        <v>3</v>
      </c>
      <c r="E117" s="50"/>
      <c r="F117" s="49"/>
      <c r="G117" s="50"/>
      <c r="I117" s="49"/>
      <c r="J117" s="62"/>
      <c r="K117" s="62"/>
      <c r="L117" s="62"/>
      <c r="M117" s="62"/>
      <c r="N117" s="62"/>
      <c r="O117" s="62"/>
      <c r="P117" s="50"/>
      <c r="Q117" s="9"/>
      <c r="R117" s="9"/>
    </row>
    <row r="118" spans="1:18" x14ac:dyDescent="0.55000000000000004">
      <c r="A118" s="42" t="s">
        <v>242</v>
      </c>
      <c r="B118" s="42" t="s">
        <v>167</v>
      </c>
      <c r="C118" s="2" t="s">
        <v>84</v>
      </c>
      <c r="D118" s="51">
        <f>$D$82/D117</f>
        <v>90</v>
      </c>
      <c r="E118" s="52" t="s">
        <v>13</v>
      </c>
      <c r="F118" s="51"/>
      <c r="G118" s="52"/>
      <c r="I118" s="51" t="s">
        <v>152</v>
      </c>
      <c r="J118" s="9"/>
      <c r="K118" s="9"/>
      <c r="L118" s="9"/>
      <c r="M118" s="9"/>
      <c r="N118" s="9"/>
      <c r="O118" s="9"/>
      <c r="P118" s="52"/>
      <c r="Q118" s="9"/>
      <c r="R118" s="9"/>
    </row>
    <row r="119" spans="1:18" x14ac:dyDescent="0.55000000000000004">
      <c r="A119" s="42" t="s">
        <v>243</v>
      </c>
      <c r="B119" s="43" t="s">
        <v>168</v>
      </c>
      <c r="C119" s="2" t="s">
        <v>80</v>
      </c>
      <c r="D119" s="53">
        <f>$D$83/D117</f>
        <v>9.2636679721580198E-2</v>
      </c>
      <c r="E119" s="52" t="s">
        <v>83</v>
      </c>
      <c r="F119" s="51"/>
      <c r="G119" s="52"/>
      <c r="I119" s="51"/>
      <c r="J119" s="9"/>
      <c r="K119" s="9"/>
      <c r="L119" s="9"/>
      <c r="M119" s="9"/>
      <c r="N119" s="9"/>
      <c r="O119" s="9"/>
      <c r="P119" s="52"/>
      <c r="Q119" s="9"/>
      <c r="R119" s="9"/>
    </row>
    <row r="120" spans="1:18" ht="15.6" x14ac:dyDescent="0.6">
      <c r="A120" s="42" t="s">
        <v>244</v>
      </c>
      <c r="B120" s="42" t="s">
        <v>169</v>
      </c>
      <c r="C120" s="47" t="s">
        <v>110</v>
      </c>
      <c r="D120" s="54">
        <f>((D119*3600)/D123)*1000</f>
        <v>334.92830186807851</v>
      </c>
      <c r="E120" s="52" t="s">
        <v>114</v>
      </c>
      <c r="F120" s="51"/>
      <c r="G120" s="52"/>
      <c r="I120" s="51"/>
      <c r="J120" s="9"/>
      <c r="K120" s="9"/>
      <c r="L120" s="9"/>
      <c r="M120" s="9"/>
      <c r="N120" s="9"/>
      <c r="O120" s="9"/>
      <c r="P120" s="52"/>
      <c r="Q120" s="9"/>
      <c r="R120" s="9"/>
    </row>
    <row r="121" spans="1:18" x14ac:dyDescent="0.55000000000000004">
      <c r="A121" s="42" t="s">
        <v>245</v>
      </c>
      <c r="B121" s="44" t="s">
        <v>171</v>
      </c>
      <c r="C121" s="2" t="s">
        <v>77</v>
      </c>
      <c r="D121" s="55">
        <f>(D119*1/1000)/$D$12</f>
        <v>0.36403914788420327</v>
      </c>
      <c r="E121" s="52" t="s">
        <v>92</v>
      </c>
      <c r="F121" s="51"/>
      <c r="G121" s="52"/>
      <c r="I121" s="51" t="s">
        <v>151</v>
      </c>
      <c r="J121" s="9"/>
      <c r="K121" s="9"/>
      <c r="L121" s="9"/>
      <c r="M121" s="9"/>
      <c r="N121" s="9"/>
      <c r="O121" s="9"/>
      <c r="P121" s="52"/>
      <c r="Q121" s="9"/>
      <c r="R121" s="9"/>
    </row>
    <row r="122" spans="1:18" ht="15.6" x14ac:dyDescent="0.6">
      <c r="A122" s="42" t="s">
        <v>246</v>
      </c>
      <c r="B122" s="42" t="s">
        <v>172</v>
      </c>
      <c r="C122" s="47" t="s">
        <v>117</v>
      </c>
      <c r="D122" s="51">
        <f>$D$53-$D$54/2</f>
        <v>32</v>
      </c>
      <c r="E122" s="52" t="s">
        <v>40</v>
      </c>
      <c r="F122" s="51"/>
      <c r="G122" s="52"/>
      <c r="I122" s="51"/>
      <c r="J122" s="9"/>
      <c r="K122" s="9"/>
      <c r="L122" s="9"/>
      <c r="M122" s="9"/>
      <c r="N122" s="9"/>
      <c r="O122" s="9"/>
      <c r="P122" s="52"/>
      <c r="Q122" s="9"/>
      <c r="R122" s="9"/>
    </row>
    <row r="123" spans="1:18" ht="16.8" x14ac:dyDescent="0.6">
      <c r="A123" s="42" t="s">
        <v>250</v>
      </c>
      <c r="B123" s="42" t="s">
        <v>115</v>
      </c>
      <c r="C123" s="47" t="s">
        <v>116</v>
      </c>
      <c r="D123" s="54">
        <f xml:space="preserve"> 1000.8576 + 0.007136 *D122 - 0.005718 *D122^2 + 0.00001468 *D122^3</f>
        <v>995.71175424</v>
      </c>
      <c r="E123" s="52" t="s">
        <v>118</v>
      </c>
      <c r="F123" s="51"/>
      <c r="G123" s="52"/>
      <c r="I123" s="51"/>
      <c r="J123" s="9"/>
      <c r="K123" s="9"/>
      <c r="L123" s="9"/>
      <c r="M123" s="9"/>
      <c r="N123" s="9"/>
      <c r="O123" s="9"/>
      <c r="P123" s="52"/>
      <c r="Q123" s="9"/>
      <c r="R123" s="9"/>
    </row>
    <row r="124" spans="1:18" x14ac:dyDescent="0.55000000000000004">
      <c r="A124" s="42" t="s">
        <v>247</v>
      </c>
      <c r="B124" s="42" t="s">
        <v>122</v>
      </c>
      <c r="C124" s="48" t="s">
        <v>123</v>
      </c>
      <c r="D124" s="51">
        <f>10 ^-6*( 1.67952 - 0.042328*D122 + 0.000499 *D122^2 - 0.00000214*D122^3 )</f>
        <v>7.6587647999999996E-7</v>
      </c>
      <c r="E124" s="52" t="s">
        <v>113</v>
      </c>
      <c r="F124" s="51"/>
      <c r="G124" s="52"/>
      <c r="I124" s="51"/>
      <c r="J124" s="9"/>
      <c r="K124" s="9"/>
      <c r="L124" s="9"/>
      <c r="M124" s="9"/>
      <c r="N124" s="9"/>
      <c r="O124" s="9"/>
      <c r="P124" s="52"/>
      <c r="Q124" s="9"/>
      <c r="R124" s="9"/>
    </row>
    <row r="125" spans="1:18" x14ac:dyDescent="0.55000000000000004">
      <c r="A125" s="42" t="s">
        <v>248</v>
      </c>
      <c r="B125" s="42" t="s">
        <v>121</v>
      </c>
      <c r="C125" s="2" t="s">
        <v>120</v>
      </c>
      <c r="D125" s="51">
        <f>($D$9-$D$10*2)</f>
        <v>1.7999999999999999E-2</v>
      </c>
      <c r="E125" s="52" t="s">
        <v>13</v>
      </c>
      <c r="F125" s="51">
        <f>D125*1000</f>
        <v>18</v>
      </c>
      <c r="G125" s="52" t="s">
        <v>125</v>
      </c>
      <c r="I125" s="55"/>
      <c r="J125" s="9"/>
      <c r="K125" s="9"/>
      <c r="L125" s="9"/>
      <c r="M125" s="9"/>
      <c r="N125" s="9"/>
      <c r="O125" s="9"/>
      <c r="P125" s="52"/>
      <c r="Q125" s="9"/>
      <c r="R125" s="9"/>
    </row>
    <row r="126" spans="1:18" ht="15.6" x14ac:dyDescent="0.6">
      <c r="A126" s="42" t="s">
        <v>249</v>
      </c>
      <c r="B126" s="42" t="s">
        <v>119</v>
      </c>
      <c r="C126" s="47" t="s">
        <v>109</v>
      </c>
      <c r="D126" s="56">
        <f>D121*D125/D124</f>
        <v>8555.8243829548846</v>
      </c>
      <c r="E126" s="52"/>
      <c r="F126" s="51"/>
      <c r="G126" s="52"/>
      <c r="I126" s="51"/>
      <c r="J126" s="9"/>
      <c r="K126" s="9"/>
      <c r="L126" s="9"/>
      <c r="M126" s="9"/>
      <c r="N126" s="9"/>
      <c r="O126" s="9"/>
      <c r="P126" s="52"/>
      <c r="Q126" s="9"/>
      <c r="R126" s="9"/>
    </row>
    <row r="127" spans="1:18" ht="15.6" x14ac:dyDescent="0.6">
      <c r="A127" s="42" t="s">
        <v>251</v>
      </c>
      <c r="B127" s="44" t="s">
        <v>130</v>
      </c>
      <c r="C127" s="47" t="s">
        <v>108</v>
      </c>
      <c r="D127" s="53">
        <f>0.316*D126^-0.25</f>
        <v>3.2856524084817186E-2</v>
      </c>
      <c r="E127" s="52"/>
      <c r="F127" s="51"/>
      <c r="G127" s="52"/>
      <c r="I127" s="51"/>
      <c r="J127" s="9"/>
      <c r="K127" s="9"/>
      <c r="L127" s="9"/>
      <c r="M127" s="9"/>
      <c r="N127" s="9"/>
      <c r="O127" s="9"/>
      <c r="P127" s="52"/>
      <c r="Q127" s="9"/>
      <c r="R127" s="9"/>
    </row>
    <row r="128" spans="1:18" x14ac:dyDescent="0.55000000000000004">
      <c r="A128" s="89" t="s">
        <v>252</v>
      </c>
      <c r="B128" s="44" t="s">
        <v>124</v>
      </c>
      <c r="C128" s="2" t="s">
        <v>86</v>
      </c>
      <c r="D128" s="55">
        <f>14.68*(D124)^(0.25)*D123*(D120)^(1.75)/((F125)^4.75)</f>
        <v>12.360063632351133</v>
      </c>
      <c r="E128" s="52" t="s">
        <v>279</v>
      </c>
      <c r="F128" s="51">
        <f>D128/1000</f>
        <v>1.2360063632351134E-2</v>
      </c>
      <c r="G128" s="52" t="s">
        <v>283</v>
      </c>
      <c r="I128" s="51"/>
      <c r="J128" s="9"/>
      <c r="K128" s="9"/>
      <c r="L128" s="9"/>
      <c r="M128" s="9"/>
      <c r="N128" s="9"/>
      <c r="O128" s="9"/>
      <c r="P128" s="52"/>
      <c r="Q128" s="9"/>
      <c r="R128" s="9"/>
    </row>
    <row r="129" spans="1:18" x14ac:dyDescent="0.55000000000000004">
      <c r="A129" s="42" t="s">
        <v>253</v>
      </c>
      <c r="B129" s="45" t="s">
        <v>85</v>
      </c>
      <c r="C129" s="2" t="s">
        <v>86</v>
      </c>
      <c r="D129" s="55">
        <f>F128*100</f>
        <v>1.2360063632351135</v>
      </c>
      <c r="E129" s="52" t="s">
        <v>280</v>
      </c>
      <c r="F129" s="51">
        <f>D129/100*D118</f>
        <v>1.1124057269116021</v>
      </c>
      <c r="G129" s="52" t="s">
        <v>282</v>
      </c>
      <c r="I129" s="51"/>
      <c r="J129" s="9"/>
      <c r="K129" s="9"/>
      <c r="L129" s="9"/>
      <c r="M129" s="9"/>
      <c r="N129" s="9"/>
      <c r="O129" s="9"/>
      <c r="P129" s="52"/>
      <c r="Q129" s="9"/>
      <c r="R129" s="9"/>
    </row>
    <row r="130" spans="1:18" x14ac:dyDescent="0.55000000000000004">
      <c r="A130" s="42" t="s">
        <v>255</v>
      </c>
      <c r="B130" s="42" t="s">
        <v>93</v>
      </c>
      <c r="C130" s="2" t="s">
        <v>94</v>
      </c>
      <c r="D130" s="57">
        <v>0.2</v>
      </c>
      <c r="E130" s="58" t="s">
        <v>157</v>
      </c>
      <c r="F130" s="51">
        <f>F129*D130</f>
        <v>0.22248114538232044</v>
      </c>
      <c r="G130" s="52" t="s">
        <v>282</v>
      </c>
      <c r="I130" s="51"/>
      <c r="J130" s="9"/>
      <c r="K130" s="9"/>
      <c r="L130" s="9"/>
      <c r="M130" s="9"/>
      <c r="N130" s="9"/>
      <c r="O130" s="9"/>
      <c r="P130" s="52"/>
      <c r="Q130" s="9"/>
      <c r="R130" s="9"/>
    </row>
    <row r="131" spans="1:18" x14ac:dyDescent="0.55000000000000004">
      <c r="A131" s="46" t="s">
        <v>254</v>
      </c>
      <c r="B131" s="46" t="s">
        <v>95</v>
      </c>
      <c r="C131" s="66" t="s">
        <v>96</v>
      </c>
      <c r="D131" s="67">
        <f>F129+F130</f>
        <v>1.3348868722939224</v>
      </c>
      <c r="E131" s="68" t="s">
        <v>282</v>
      </c>
      <c r="F131" s="51"/>
      <c r="G131" s="52"/>
      <c r="I131" s="51" t="s">
        <v>150</v>
      </c>
      <c r="J131" s="9"/>
      <c r="K131" s="9"/>
      <c r="L131" s="9"/>
      <c r="M131" s="9"/>
      <c r="N131" s="9"/>
      <c r="O131" s="9"/>
      <c r="P131" s="52"/>
      <c r="Q131" s="9"/>
      <c r="R131" s="9"/>
    </row>
    <row r="132" spans="1:18" x14ac:dyDescent="0.55000000000000004">
      <c r="C132" s="25"/>
      <c r="D132" s="59">
        <f>D131/10</f>
        <v>0.13348868722939225</v>
      </c>
      <c r="E132" s="60" t="s">
        <v>97</v>
      </c>
      <c r="F132" s="61"/>
      <c r="G132" s="60"/>
      <c r="I132" s="61"/>
      <c r="J132" s="64"/>
      <c r="K132" s="64"/>
      <c r="L132" s="64"/>
      <c r="M132" s="64"/>
      <c r="N132" s="64"/>
      <c r="O132" s="64"/>
      <c r="P132" s="60"/>
      <c r="Q132" s="9"/>
      <c r="R132" s="9"/>
    </row>
    <row r="133" spans="1:18" x14ac:dyDescent="0.55000000000000004">
      <c r="I133" s="51"/>
      <c r="Q133" s="9"/>
      <c r="R133" s="9"/>
    </row>
    <row r="134" spans="1:18" x14ac:dyDescent="0.55000000000000004">
      <c r="I134" s="51"/>
      <c r="Q134" s="9"/>
      <c r="R134" s="9"/>
    </row>
    <row r="135" spans="1:18" x14ac:dyDescent="0.55000000000000004">
      <c r="A135" s="41" t="s">
        <v>259</v>
      </c>
      <c r="B135" s="41" t="s">
        <v>148</v>
      </c>
      <c r="C135" s="69" t="s">
        <v>149</v>
      </c>
      <c r="D135" s="63">
        <v>4</v>
      </c>
      <c r="E135" s="50"/>
      <c r="F135" s="49"/>
      <c r="G135" s="50"/>
      <c r="I135" s="49"/>
      <c r="J135" s="62"/>
      <c r="K135" s="62"/>
      <c r="L135" s="62"/>
      <c r="M135" s="62"/>
      <c r="N135" s="62"/>
      <c r="O135" s="62"/>
      <c r="P135" s="50"/>
      <c r="Q135" s="9"/>
      <c r="R135" s="9"/>
    </row>
    <row r="136" spans="1:18" x14ac:dyDescent="0.55000000000000004">
      <c r="A136" s="42" t="s">
        <v>242</v>
      </c>
      <c r="B136" s="42" t="s">
        <v>167</v>
      </c>
      <c r="C136" s="2" t="s">
        <v>84</v>
      </c>
      <c r="D136" s="51">
        <f>$D$82/D135</f>
        <v>67.5</v>
      </c>
      <c r="E136" s="52" t="s">
        <v>13</v>
      </c>
      <c r="F136" s="51"/>
      <c r="G136" s="52"/>
      <c r="I136" s="51" t="s">
        <v>152</v>
      </c>
      <c r="J136" s="9"/>
      <c r="K136" s="9"/>
      <c r="L136" s="9"/>
      <c r="M136" s="9"/>
      <c r="N136" s="9"/>
      <c r="O136" s="9"/>
      <c r="P136" s="52"/>
      <c r="Q136" s="9"/>
      <c r="R136" s="9"/>
    </row>
    <row r="137" spans="1:18" x14ac:dyDescent="0.55000000000000004">
      <c r="A137" s="42" t="s">
        <v>243</v>
      </c>
      <c r="B137" s="43" t="s">
        <v>168</v>
      </c>
      <c r="C137" s="2" t="s">
        <v>80</v>
      </c>
      <c r="D137" s="53">
        <f>$D$83/D135</f>
        <v>6.9477509791185152E-2</v>
      </c>
      <c r="E137" s="52" t="s">
        <v>83</v>
      </c>
      <c r="F137" s="51"/>
      <c r="G137" s="52"/>
      <c r="I137" s="51"/>
      <c r="J137" s="9"/>
      <c r="K137" s="9"/>
      <c r="L137" s="9"/>
      <c r="M137" s="9"/>
      <c r="N137" s="9"/>
      <c r="O137" s="9"/>
      <c r="P137" s="52"/>
      <c r="Q137" s="9"/>
      <c r="R137" s="9"/>
    </row>
    <row r="138" spans="1:18" ht="15.6" x14ac:dyDescent="0.6">
      <c r="A138" s="42" t="s">
        <v>244</v>
      </c>
      <c r="B138" s="42" t="s">
        <v>169</v>
      </c>
      <c r="C138" s="47" t="s">
        <v>110</v>
      </c>
      <c r="D138" s="54">
        <f>((D137*3600)/D141)*1000</f>
        <v>251.19622640105888</v>
      </c>
      <c r="E138" s="52" t="s">
        <v>114</v>
      </c>
      <c r="F138" s="51"/>
      <c r="G138" s="52"/>
      <c r="I138" s="51"/>
      <c r="J138" s="9"/>
      <c r="K138" s="9"/>
      <c r="L138" s="9"/>
      <c r="M138" s="9"/>
      <c r="N138" s="9"/>
      <c r="O138" s="9"/>
      <c r="P138" s="52"/>
      <c r="Q138" s="9"/>
      <c r="R138" s="9"/>
    </row>
    <row r="139" spans="1:18" x14ac:dyDescent="0.55000000000000004">
      <c r="A139" s="42" t="s">
        <v>245</v>
      </c>
      <c r="B139" s="44" t="s">
        <v>171</v>
      </c>
      <c r="C139" s="2" t="s">
        <v>77</v>
      </c>
      <c r="D139" s="55">
        <f>(D137*1/1000)/$D$12</f>
        <v>0.27302936091315244</v>
      </c>
      <c r="E139" s="52" t="s">
        <v>92</v>
      </c>
      <c r="F139" s="51"/>
      <c r="G139" s="52"/>
      <c r="I139" s="51" t="s">
        <v>151</v>
      </c>
      <c r="J139" s="9"/>
      <c r="K139" s="9"/>
      <c r="L139" s="9"/>
      <c r="M139" s="9"/>
      <c r="N139" s="9"/>
      <c r="O139" s="9"/>
      <c r="P139" s="52"/>
      <c r="Q139" s="9"/>
      <c r="R139" s="9"/>
    </row>
    <row r="140" spans="1:18" ht="15.6" x14ac:dyDescent="0.6">
      <c r="A140" s="42" t="s">
        <v>246</v>
      </c>
      <c r="B140" s="42" t="s">
        <v>172</v>
      </c>
      <c r="C140" s="47" t="s">
        <v>117</v>
      </c>
      <c r="D140" s="51">
        <f>$D$53-$D$54/2</f>
        <v>32</v>
      </c>
      <c r="E140" s="52" t="s">
        <v>40</v>
      </c>
      <c r="F140" s="51"/>
      <c r="G140" s="52"/>
      <c r="I140" s="51"/>
      <c r="J140" s="9"/>
      <c r="K140" s="9"/>
      <c r="L140" s="9"/>
      <c r="M140" s="9"/>
      <c r="N140" s="9"/>
      <c r="O140" s="9"/>
      <c r="P140" s="52"/>
      <c r="Q140" s="9"/>
      <c r="R140" s="9"/>
    </row>
    <row r="141" spans="1:18" ht="16.8" x14ac:dyDescent="0.6">
      <c r="A141" s="42" t="s">
        <v>250</v>
      </c>
      <c r="B141" s="42" t="s">
        <v>115</v>
      </c>
      <c r="C141" s="47" t="s">
        <v>116</v>
      </c>
      <c r="D141" s="54">
        <f xml:space="preserve"> 1000.8576 + 0.007136 *D140 - 0.005718 *D140^2 + 0.00001468 *D140^3</f>
        <v>995.71175424</v>
      </c>
      <c r="E141" s="52" t="s">
        <v>118</v>
      </c>
      <c r="F141" s="51"/>
      <c r="G141" s="52"/>
      <c r="I141" s="51"/>
      <c r="J141" s="9"/>
      <c r="K141" s="9"/>
      <c r="L141" s="9"/>
      <c r="M141" s="9"/>
      <c r="N141" s="9"/>
      <c r="O141" s="9"/>
      <c r="P141" s="52"/>
      <c r="Q141" s="9"/>
      <c r="R141" s="9"/>
    </row>
    <row r="142" spans="1:18" x14ac:dyDescent="0.55000000000000004">
      <c r="A142" s="42" t="s">
        <v>247</v>
      </c>
      <c r="B142" s="42" t="s">
        <v>122</v>
      </c>
      <c r="C142" s="48" t="s">
        <v>123</v>
      </c>
      <c r="D142" s="51">
        <f>10 ^-6*( 1.67952 - 0.042328*D140 + 0.000499 *D140^2 - 0.00000214*D140^3 )</f>
        <v>7.6587647999999996E-7</v>
      </c>
      <c r="E142" s="52" t="s">
        <v>113</v>
      </c>
      <c r="F142" s="51"/>
      <c r="G142" s="52"/>
      <c r="I142" s="51"/>
      <c r="J142" s="9"/>
      <c r="K142" s="9"/>
      <c r="L142" s="9"/>
      <c r="M142" s="9"/>
      <c r="N142" s="9"/>
      <c r="O142" s="9"/>
      <c r="P142" s="52"/>
      <c r="Q142" s="9"/>
      <c r="R142" s="9"/>
    </row>
    <row r="143" spans="1:18" x14ac:dyDescent="0.55000000000000004">
      <c r="A143" s="42" t="s">
        <v>248</v>
      </c>
      <c r="B143" s="42" t="s">
        <v>121</v>
      </c>
      <c r="C143" s="2" t="s">
        <v>120</v>
      </c>
      <c r="D143" s="51">
        <f>($D$9-$D$10*2)</f>
        <v>1.7999999999999999E-2</v>
      </c>
      <c r="E143" s="52" t="s">
        <v>13</v>
      </c>
      <c r="F143" s="51">
        <f>D143*1000</f>
        <v>18</v>
      </c>
      <c r="G143" s="52" t="s">
        <v>125</v>
      </c>
      <c r="I143" s="55"/>
      <c r="J143" s="9"/>
      <c r="K143" s="9"/>
      <c r="L143" s="9"/>
      <c r="M143" s="9"/>
      <c r="N143" s="9"/>
      <c r="O143" s="9"/>
      <c r="P143" s="52"/>
      <c r="Q143" s="9"/>
      <c r="R143" s="9"/>
    </row>
    <row r="144" spans="1:18" ht="15.6" x14ac:dyDescent="0.6">
      <c r="A144" s="42" t="s">
        <v>249</v>
      </c>
      <c r="B144" s="42" t="s">
        <v>119</v>
      </c>
      <c r="C144" s="47" t="s">
        <v>109</v>
      </c>
      <c r="D144" s="56">
        <f>D139*D143/D142</f>
        <v>6416.8682872161635</v>
      </c>
      <c r="E144" s="52"/>
      <c r="F144" s="51"/>
      <c r="G144" s="52"/>
      <c r="I144" s="51"/>
      <c r="J144" s="9"/>
      <c r="K144" s="9"/>
      <c r="L144" s="9"/>
      <c r="M144" s="9"/>
      <c r="N144" s="9"/>
      <c r="O144" s="9"/>
      <c r="P144" s="52"/>
      <c r="Q144" s="9"/>
      <c r="R144" s="9"/>
    </row>
    <row r="145" spans="1:18" ht="15.6" x14ac:dyDescent="0.6">
      <c r="A145" s="42" t="s">
        <v>251</v>
      </c>
      <c r="B145" s="44" t="s">
        <v>130</v>
      </c>
      <c r="C145" s="47" t="s">
        <v>108</v>
      </c>
      <c r="D145" s="53">
        <f>0.316*D144^-0.25</f>
        <v>3.5306632845780575E-2</v>
      </c>
      <c r="E145" s="52"/>
      <c r="F145" s="51"/>
      <c r="G145" s="52"/>
      <c r="I145" s="51"/>
      <c r="J145" s="9"/>
      <c r="K145" s="9"/>
      <c r="L145" s="9"/>
      <c r="M145" s="9"/>
      <c r="N145" s="9"/>
      <c r="O145" s="9"/>
      <c r="P145" s="52"/>
      <c r="Q145" s="9"/>
      <c r="R145" s="9"/>
    </row>
    <row r="146" spans="1:18" x14ac:dyDescent="0.55000000000000004">
      <c r="A146" s="89" t="s">
        <v>252</v>
      </c>
      <c r="B146" s="44" t="s">
        <v>124</v>
      </c>
      <c r="C146" s="2" t="s">
        <v>86</v>
      </c>
      <c r="D146" s="55">
        <f>14.68*(D142)^(0.25)*D141*(D138)^(1.75)/((F143)^4.75)</f>
        <v>7.470985913296972</v>
      </c>
      <c r="E146" s="52" t="s">
        <v>279</v>
      </c>
      <c r="F146" s="51">
        <f>D146/1000</f>
        <v>7.4709859132969722E-3</v>
      </c>
      <c r="G146" s="52" t="s">
        <v>283</v>
      </c>
      <c r="I146" s="51"/>
      <c r="J146" s="9"/>
      <c r="K146" s="9"/>
      <c r="L146" s="9"/>
      <c r="M146" s="9"/>
      <c r="N146" s="9"/>
      <c r="O146" s="9"/>
      <c r="P146" s="52"/>
      <c r="Q146" s="9"/>
      <c r="R146" s="9"/>
    </row>
    <row r="147" spans="1:18" x14ac:dyDescent="0.55000000000000004">
      <c r="A147" s="42" t="s">
        <v>253</v>
      </c>
      <c r="B147" s="45" t="s">
        <v>85</v>
      </c>
      <c r="C147" s="2" t="s">
        <v>86</v>
      </c>
      <c r="D147" s="55">
        <f>F146*100</f>
        <v>0.74709859132969725</v>
      </c>
      <c r="E147" s="52" t="s">
        <v>280</v>
      </c>
      <c r="F147" s="51">
        <f>D147/100*D136</f>
        <v>0.50429154914754559</v>
      </c>
      <c r="G147" s="52" t="s">
        <v>282</v>
      </c>
      <c r="I147" s="51"/>
      <c r="J147" s="9"/>
      <c r="K147" s="9"/>
      <c r="L147" s="9"/>
      <c r="M147" s="9"/>
      <c r="N147" s="9"/>
      <c r="O147" s="9"/>
      <c r="P147" s="52"/>
      <c r="Q147" s="9"/>
      <c r="R147" s="9"/>
    </row>
    <row r="148" spans="1:18" x14ac:dyDescent="0.55000000000000004">
      <c r="A148" s="42" t="s">
        <v>255</v>
      </c>
      <c r="B148" s="42" t="s">
        <v>93</v>
      </c>
      <c r="C148" s="2" t="s">
        <v>94</v>
      </c>
      <c r="D148" s="57">
        <v>0.2</v>
      </c>
      <c r="E148" s="58" t="s">
        <v>157</v>
      </c>
      <c r="F148" s="51">
        <f>F147*D148</f>
        <v>0.10085830982950912</v>
      </c>
      <c r="G148" s="52" t="s">
        <v>282</v>
      </c>
      <c r="I148" s="51"/>
      <c r="J148" s="9"/>
      <c r="K148" s="9"/>
      <c r="L148" s="9"/>
      <c r="M148" s="9"/>
      <c r="N148" s="9"/>
      <c r="O148" s="9"/>
      <c r="P148" s="52"/>
      <c r="Q148" s="9"/>
      <c r="R148" s="9"/>
    </row>
    <row r="149" spans="1:18" x14ac:dyDescent="0.55000000000000004">
      <c r="A149" s="46" t="s">
        <v>254</v>
      </c>
      <c r="B149" s="46" t="s">
        <v>95</v>
      </c>
      <c r="C149" s="66" t="s">
        <v>96</v>
      </c>
      <c r="D149" s="67">
        <f>F147+F148</f>
        <v>0.60514985897705476</v>
      </c>
      <c r="E149" s="68" t="s">
        <v>282</v>
      </c>
      <c r="F149" s="51"/>
      <c r="G149" s="52"/>
      <c r="I149" s="51" t="s">
        <v>150</v>
      </c>
      <c r="J149" s="9"/>
      <c r="K149" s="9"/>
      <c r="L149" s="9"/>
      <c r="M149" s="9"/>
      <c r="N149" s="9"/>
      <c r="O149" s="9"/>
      <c r="P149" s="52"/>
      <c r="Q149" s="9"/>
      <c r="R149" s="9"/>
    </row>
    <row r="150" spans="1:18" x14ac:dyDescent="0.55000000000000004">
      <c r="C150" s="25"/>
      <c r="D150" s="59">
        <f>D149/10</f>
        <v>6.0514985897705473E-2</v>
      </c>
      <c r="E150" s="60" t="s">
        <v>97</v>
      </c>
      <c r="F150" s="61"/>
      <c r="G150" s="60"/>
      <c r="I150" s="61"/>
      <c r="J150" s="64"/>
      <c r="K150" s="64"/>
      <c r="L150" s="64"/>
      <c r="M150" s="64"/>
      <c r="N150" s="64"/>
      <c r="O150" s="64"/>
      <c r="P150" s="60"/>
      <c r="Q150" s="9"/>
      <c r="R150" s="9"/>
    </row>
    <row r="151" spans="1:18" x14ac:dyDescent="0.55000000000000004">
      <c r="Q151" s="9"/>
      <c r="R151" s="9"/>
    </row>
    <row r="152" spans="1:18" x14ac:dyDescent="0.55000000000000004">
      <c r="Q152" s="9"/>
      <c r="R152" s="9"/>
    </row>
  </sheetData>
  <conditionalFormatting sqref="I103 I121 I139">
    <cfRule type="cellIs" dxfId="12" priority="43" operator="between">
      <formula>$D$103&gt;0.2</formula>
      <formula>$D$103&lt;0.5</formula>
    </cfRule>
    <cfRule type="cellIs" dxfId="11" priority="44" operator="between">
      <formula>"$C$97&gt;0.2"</formula>
      <formula>"$C$97&lt;0.5"</formula>
    </cfRule>
  </conditionalFormatting>
  <conditionalFormatting sqref="D82">
    <cfRule type="cellIs" dxfId="10" priority="28" operator="lessThan">
      <formula>100</formula>
    </cfRule>
  </conditionalFormatting>
  <conditionalFormatting sqref="D100">
    <cfRule type="cellIs" dxfId="9" priority="16" operator="lessThan">
      <formula>100</formula>
    </cfRule>
  </conditionalFormatting>
  <conditionalFormatting sqref="D103">
    <cfRule type="cellIs" dxfId="8" priority="15" operator="between">
      <formula>0.2</formula>
      <formula>0.5</formula>
    </cfRule>
  </conditionalFormatting>
  <conditionalFormatting sqref="D85">
    <cfRule type="cellIs" dxfId="7" priority="14" operator="between">
      <formula>0.2</formula>
      <formula>0.5</formula>
    </cfRule>
  </conditionalFormatting>
  <conditionalFormatting sqref="D113">
    <cfRule type="cellIs" dxfId="6" priority="10" operator="lessThan">
      <formula>1.5</formula>
    </cfRule>
  </conditionalFormatting>
  <conditionalFormatting sqref="D118">
    <cfRule type="cellIs" dxfId="5" priority="6" operator="lessThan">
      <formula>100</formula>
    </cfRule>
  </conditionalFormatting>
  <conditionalFormatting sqref="D121">
    <cfRule type="cellIs" dxfId="4" priority="5" operator="between">
      <formula>0.2</formula>
      <formula>0.5</formula>
    </cfRule>
  </conditionalFormatting>
  <conditionalFormatting sqref="D131">
    <cfRule type="cellIs" dxfId="3" priority="4" operator="lessThan">
      <formula>1.5</formula>
    </cfRule>
  </conditionalFormatting>
  <conditionalFormatting sqref="D136">
    <cfRule type="cellIs" dxfId="2" priority="3" operator="lessThan">
      <formula>100</formula>
    </cfRule>
  </conditionalFormatting>
  <conditionalFormatting sqref="D139">
    <cfRule type="cellIs" dxfId="1" priority="2" operator="between">
      <formula>0.2</formula>
      <formula>0.5</formula>
    </cfRule>
  </conditionalFormatting>
  <conditionalFormatting sqref="D149">
    <cfRule type="cellIs" dxfId="0" priority="1" operator="lessThan">
      <formula>1.5</formula>
    </cfRule>
  </conditionalFormatting>
  <dataValidations disablePrompts="1" count="2">
    <dataValidation type="decimal" errorStyle="warning" operator="greaterThanOrEqual" allowBlank="1" showInputMessage="1" showErrorMessage="1" errorTitle="Input non valido" error="Immettere un valore superiore a 0.01 m" sqref="D15" xr:uid="{00000000-0002-0000-0000-000000000000}">
      <formula1>0.01</formula1>
    </dataValidation>
    <dataValidation type="list" allowBlank="1" showInputMessage="1" showErrorMessage="1" sqref="D8" xr:uid="{00000000-0002-0000-0000-000001000000}">
      <formula1>$AY$14:$AY$21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10"/>
  <sheetViews>
    <sheetView topLeftCell="A10" zoomScale="70" zoomScaleNormal="70" workbookViewId="0">
      <selection activeCell="B3" sqref="B3"/>
    </sheetView>
  </sheetViews>
  <sheetFormatPr defaultColWidth="9.15625" defaultRowHeight="14.4" x14ac:dyDescent="0.55000000000000004"/>
  <cols>
    <col min="1" max="2" width="9.15625" customWidth="1"/>
    <col min="3" max="3" width="16.83984375" customWidth="1"/>
    <col min="4" max="10" width="9.15625" customWidth="1"/>
    <col min="11" max="11" width="2.578125" customWidth="1"/>
    <col min="13" max="13" width="2.578125" customWidth="1"/>
    <col min="16" max="16" width="10.15625" bestFit="1" customWidth="1"/>
  </cols>
  <sheetData>
    <row r="3" spans="2:16" x14ac:dyDescent="0.55000000000000004">
      <c r="B3" t="s">
        <v>37</v>
      </c>
      <c r="C3" s="1">
        <f>'Dati Generali'!D17</f>
        <v>1.2857142857142859E-2</v>
      </c>
      <c r="D3" s="1" t="s">
        <v>15</v>
      </c>
    </row>
    <row r="4" spans="2:16" x14ac:dyDescent="0.55000000000000004">
      <c r="B4" t="s">
        <v>33</v>
      </c>
      <c r="C4" s="18">
        <f>P4+P5*C3+P6*C3^2+P7*C3^3</f>
        <v>1.2182448979591838</v>
      </c>
      <c r="D4" s="1" t="s">
        <v>16</v>
      </c>
      <c r="O4" t="s">
        <v>24</v>
      </c>
      <c r="P4">
        <v>1.23</v>
      </c>
    </row>
    <row r="5" spans="2:16" x14ac:dyDescent="0.55000000000000004">
      <c r="O5" t="s">
        <v>6</v>
      </c>
      <c r="P5">
        <v>-0.94</v>
      </c>
    </row>
    <row r="6" spans="2:16" x14ac:dyDescent="0.55000000000000004">
      <c r="O6" t="s">
        <v>7</v>
      </c>
      <c r="P6">
        <v>2</v>
      </c>
    </row>
    <row r="7" spans="2:16" x14ac:dyDescent="0.55000000000000004">
      <c r="O7" t="s">
        <v>8</v>
      </c>
      <c r="P7" s="17">
        <v>-2.9103829999999999E-11</v>
      </c>
    </row>
    <row r="9" spans="2:16" x14ac:dyDescent="0.55000000000000004">
      <c r="C9" s="16" t="s">
        <v>47</v>
      </c>
      <c r="D9" s="14">
        <v>0</v>
      </c>
      <c r="E9" s="14">
        <v>0.05</v>
      </c>
      <c r="F9" s="14">
        <v>0.1</v>
      </c>
      <c r="G9" s="14">
        <v>0.15</v>
      </c>
    </row>
    <row r="10" spans="2:16" x14ac:dyDescent="0.55000000000000004">
      <c r="C10" s="16" t="s">
        <v>33</v>
      </c>
      <c r="D10" s="14">
        <v>1.23</v>
      </c>
      <c r="E10" s="14">
        <v>1.1879999999999999</v>
      </c>
      <c r="F10" s="14">
        <v>1.1559999999999999</v>
      </c>
      <c r="G10" s="14">
        <v>1.1339999999999999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1"/>
  <sheetViews>
    <sheetView zoomScale="85" zoomScaleNormal="85" workbookViewId="0">
      <selection activeCell="F39" sqref="F39"/>
    </sheetView>
  </sheetViews>
  <sheetFormatPr defaultColWidth="9.15625" defaultRowHeight="14.4" x14ac:dyDescent="0.55000000000000004"/>
  <cols>
    <col min="1" max="9" width="9.15625" customWidth="1"/>
    <col min="10" max="10" width="2.41796875" customWidth="1"/>
    <col min="11" max="14" width="9.15625" customWidth="1"/>
  </cols>
  <sheetData>
    <row r="2" spans="2:14" x14ac:dyDescent="0.55000000000000004">
      <c r="B2" t="s">
        <v>4</v>
      </c>
      <c r="C2" s="1">
        <f>'Dati Generali'!D8</f>
        <v>0.1</v>
      </c>
      <c r="D2" s="1" t="s">
        <v>14</v>
      </c>
    </row>
    <row r="3" spans="2:14" x14ac:dyDescent="0.55000000000000004">
      <c r="B3" t="s">
        <v>3</v>
      </c>
      <c r="C3" s="8">
        <f>'Dati Generali'!D17</f>
        <v>1.2857142857142859E-2</v>
      </c>
      <c r="D3" s="1" t="s">
        <v>15</v>
      </c>
    </row>
    <row r="4" spans="2:14" x14ac:dyDescent="0.55000000000000004">
      <c r="B4" t="s">
        <v>2</v>
      </c>
      <c r="C4" s="11">
        <f>IF(C3="","",N4+N5*C3+N6*C3^2+N7*I56)</f>
        <v>1.0596499795918366</v>
      </c>
      <c r="D4" s="1" t="s">
        <v>16</v>
      </c>
      <c r="F4" s="94" t="s">
        <v>10</v>
      </c>
      <c r="G4" s="95"/>
      <c r="H4" s="95"/>
      <c r="I4" s="96"/>
      <c r="M4" t="s">
        <v>5</v>
      </c>
      <c r="N4">
        <f>LOOKUP($C$2,$B$21:$I$21,B28:I28)</f>
        <v>1.0629999999999999</v>
      </c>
    </row>
    <row r="5" spans="2:14" x14ac:dyDescent="0.55000000000000004">
      <c r="F5" s="7">
        <v>0</v>
      </c>
      <c r="G5" s="7">
        <v>0.05</v>
      </c>
      <c r="H5" s="7">
        <v>0.1</v>
      </c>
      <c r="I5" s="7">
        <v>0.15</v>
      </c>
      <c r="M5" t="s">
        <v>6</v>
      </c>
      <c r="N5">
        <f t="shared" ref="N5:N7" si="0">LOOKUP($C$2,$B$21:$I$21,B29:I29)</f>
        <v>-0.25669999999999998</v>
      </c>
    </row>
    <row r="6" spans="2:14" x14ac:dyDescent="0.55000000000000004">
      <c r="E6" s="6" t="s">
        <v>11</v>
      </c>
      <c r="F6" s="97" t="s">
        <v>12</v>
      </c>
      <c r="G6" s="98"/>
      <c r="H6" s="98"/>
      <c r="I6" s="99"/>
      <c r="M6" t="s">
        <v>7</v>
      </c>
      <c r="N6">
        <f t="shared" si="0"/>
        <v>-0.3</v>
      </c>
    </row>
    <row r="7" spans="2:14" x14ac:dyDescent="0.55000000000000004">
      <c r="E7" s="4">
        <v>0.05</v>
      </c>
      <c r="F7" s="2">
        <v>1.069</v>
      </c>
      <c r="G7" s="2">
        <v>1.056</v>
      </c>
      <c r="H7" s="2">
        <v>1.0429999999999999</v>
      </c>
      <c r="I7" s="2">
        <v>1.0369999999999999</v>
      </c>
      <c r="M7" t="s">
        <v>8</v>
      </c>
      <c r="N7">
        <f t="shared" si="0"/>
        <v>4.6666999999999996</v>
      </c>
    </row>
    <row r="8" spans="2:14" x14ac:dyDescent="0.55000000000000004">
      <c r="E8" s="4">
        <v>7.4999999999999997E-2</v>
      </c>
      <c r="F8" s="2">
        <v>1.0660000000000001</v>
      </c>
      <c r="G8" s="2">
        <v>1.0529999999999999</v>
      </c>
      <c r="H8" s="2">
        <v>1.0409999999999999</v>
      </c>
      <c r="I8" s="2">
        <v>1.0349999999999999</v>
      </c>
    </row>
    <row r="9" spans="2:14" x14ac:dyDescent="0.55000000000000004">
      <c r="E9" s="4">
        <v>0.1</v>
      </c>
      <c r="F9" s="2">
        <v>1.0629999999999999</v>
      </c>
      <c r="G9" s="2">
        <v>1.05</v>
      </c>
      <c r="H9" s="2">
        <v>1.0389999999999999</v>
      </c>
      <c r="I9" s="2">
        <v>1.0335000000000001</v>
      </c>
    </row>
    <row r="10" spans="2:14" x14ac:dyDescent="0.55000000000000004">
      <c r="E10" s="4">
        <v>0.15</v>
      </c>
      <c r="F10" s="2">
        <v>1.0569999999999999</v>
      </c>
      <c r="G10" s="2">
        <v>1.046</v>
      </c>
      <c r="H10" s="2">
        <v>1.0349999999999999</v>
      </c>
      <c r="I10" s="2">
        <v>1.0305</v>
      </c>
    </row>
    <row r="11" spans="2:14" x14ac:dyDescent="0.55000000000000004">
      <c r="E11" s="4">
        <v>0.2</v>
      </c>
      <c r="F11" s="2">
        <v>1.0509999999999999</v>
      </c>
      <c r="G11" s="2">
        <v>1.0409999999999999</v>
      </c>
      <c r="H11" s="2">
        <v>1.0315000000000001</v>
      </c>
      <c r="I11" s="2">
        <v>1.0275000000000001</v>
      </c>
    </row>
    <row r="12" spans="2:14" x14ac:dyDescent="0.55000000000000004">
      <c r="E12" s="4">
        <v>0.22500000000000001</v>
      </c>
      <c r="F12" s="2">
        <v>1.048</v>
      </c>
      <c r="G12" s="2">
        <v>1.038</v>
      </c>
      <c r="H12" s="2">
        <v>1.0295000000000001</v>
      </c>
      <c r="I12" s="2">
        <v>1.026</v>
      </c>
    </row>
    <row r="13" spans="2:14" x14ac:dyDescent="0.55000000000000004">
      <c r="E13" s="4">
        <v>0.3</v>
      </c>
      <c r="F13" s="2">
        <v>1.0395000000000001</v>
      </c>
      <c r="G13" s="2">
        <v>1.0309999999999999</v>
      </c>
      <c r="H13" s="2">
        <v>1.024</v>
      </c>
      <c r="I13" s="2">
        <v>1.0209999999999999</v>
      </c>
    </row>
    <row r="14" spans="2:14" x14ac:dyDescent="0.55000000000000004">
      <c r="E14" s="5">
        <v>0.375</v>
      </c>
      <c r="F14" s="3">
        <v>1.03</v>
      </c>
      <c r="G14" s="3">
        <v>1.0221</v>
      </c>
      <c r="H14" s="3">
        <v>1.0181</v>
      </c>
      <c r="I14" s="3">
        <v>1.0149999999999999</v>
      </c>
    </row>
    <row r="15" spans="2:14" ht="10.5" customHeight="1" x14ac:dyDescent="0.55000000000000004"/>
    <row r="21" spans="1:9" x14ac:dyDescent="0.55000000000000004">
      <c r="B21">
        <v>0.05</v>
      </c>
      <c r="C21">
        <v>7.4999999999999997E-2</v>
      </c>
      <c r="D21">
        <v>0.1</v>
      </c>
      <c r="E21">
        <v>0.15</v>
      </c>
      <c r="F21">
        <v>0.2</v>
      </c>
      <c r="G21">
        <v>0.22500000000000001</v>
      </c>
      <c r="H21">
        <v>0.3</v>
      </c>
      <c r="I21">
        <v>0.375</v>
      </c>
    </row>
    <row r="22" spans="1:9" x14ac:dyDescent="0.55000000000000004">
      <c r="A22" s="1"/>
      <c r="B22" s="1">
        <v>0.05</v>
      </c>
      <c r="C22" s="1">
        <v>7.4999999999999997E-2</v>
      </c>
      <c r="D22" s="1">
        <v>0.1</v>
      </c>
      <c r="E22" s="1">
        <v>0.15</v>
      </c>
      <c r="F22" s="1">
        <v>0.2</v>
      </c>
      <c r="G22" s="1">
        <v>0.22500000000000001</v>
      </c>
      <c r="H22" s="1">
        <v>0.3</v>
      </c>
      <c r="I22" s="1">
        <v>0.375</v>
      </c>
    </row>
    <row r="23" spans="1:9" x14ac:dyDescent="0.55000000000000004">
      <c r="A23" s="1">
        <v>0</v>
      </c>
      <c r="B23" s="1">
        <v>1.069</v>
      </c>
      <c r="C23" s="1">
        <v>1.0660000000000001</v>
      </c>
      <c r="D23" s="1">
        <v>1.0629999999999999</v>
      </c>
      <c r="E23" s="1">
        <v>1.0569999999999999</v>
      </c>
      <c r="F23" s="1">
        <v>1.0509999999999999</v>
      </c>
      <c r="G23" s="1">
        <v>1.048</v>
      </c>
      <c r="H23" s="1">
        <v>1.0395000000000001</v>
      </c>
      <c r="I23" s="1">
        <v>1.03</v>
      </c>
    </row>
    <row r="24" spans="1:9" x14ac:dyDescent="0.55000000000000004">
      <c r="A24" s="1">
        <v>0.05</v>
      </c>
      <c r="B24" s="1">
        <v>1.056</v>
      </c>
      <c r="C24" s="1">
        <v>1.0529999999999999</v>
      </c>
      <c r="D24" s="1">
        <v>1.05</v>
      </c>
      <c r="E24" s="1">
        <v>1.046</v>
      </c>
      <c r="F24" s="1">
        <v>1.0409999999999999</v>
      </c>
      <c r="G24" s="1">
        <v>1.038</v>
      </c>
      <c r="H24" s="1">
        <v>1.0309999999999999</v>
      </c>
      <c r="I24" s="1">
        <v>1.0221</v>
      </c>
    </row>
    <row r="25" spans="1:9" x14ac:dyDescent="0.55000000000000004">
      <c r="A25" s="1">
        <v>0.1</v>
      </c>
      <c r="B25" s="1">
        <v>1.0429999999999999</v>
      </c>
      <c r="C25" s="1">
        <v>1.0409999999999999</v>
      </c>
      <c r="D25" s="1">
        <v>1.0389999999999999</v>
      </c>
      <c r="E25" s="1">
        <v>1.0349999999999999</v>
      </c>
      <c r="F25" s="1">
        <v>1.0315000000000001</v>
      </c>
      <c r="G25" s="1">
        <v>1.0295000000000001</v>
      </c>
      <c r="H25" s="1">
        <v>1.024</v>
      </c>
      <c r="I25" s="1">
        <v>1.0181</v>
      </c>
    </row>
    <row r="26" spans="1:9" x14ac:dyDescent="0.55000000000000004">
      <c r="A26" s="1">
        <v>0.15</v>
      </c>
      <c r="B26" s="1">
        <v>1.0369999999999999</v>
      </c>
      <c r="C26" s="1">
        <v>1.0349999999999999</v>
      </c>
      <c r="D26" s="1">
        <v>1.0335000000000001</v>
      </c>
      <c r="E26" s="1">
        <v>1.0305</v>
      </c>
      <c r="F26" s="1">
        <v>1.0275000000000001</v>
      </c>
      <c r="G26" s="1">
        <v>1.026</v>
      </c>
      <c r="H26" s="1">
        <v>1.0209999999999999</v>
      </c>
      <c r="I26" s="1">
        <v>1.0149999999999999</v>
      </c>
    </row>
    <row r="27" spans="1:9" x14ac:dyDescent="0.55000000000000004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55000000000000004">
      <c r="A28" t="s">
        <v>5</v>
      </c>
      <c r="B28" s="1">
        <v>1.069</v>
      </c>
      <c r="C28" s="1">
        <v>1.0660000000000001</v>
      </c>
      <c r="D28" s="1">
        <v>1.0629999999999999</v>
      </c>
      <c r="E28" s="1">
        <v>1.0569999999999999</v>
      </c>
      <c r="F28" s="1">
        <v>1.0509999999999999</v>
      </c>
      <c r="G28" s="1">
        <v>1.048</v>
      </c>
      <c r="H28" s="1">
        <v>1.0395000000000001</v>
      </c>
      <c r="I28" s="1">
        <v>1.03</v>
      </c>
    </row>
    <row r="29" spans="1:9" x14ac:dyDescent="0.55000000000000004">
      <c r="A29" t="s">
        <v>6</v>
      </c>
      <c r="B29" s="1">
        <v>-0.21329999999999999</v>
      </c>
      <c r="C29" s="1">
        <v>-0.23669999999999999</v>
      </c>
      <c r="D29" s="1">
        <v>-0.25669999999999998</v>
      </c>
      <c r="E29" s="1">
        <v>-0.1767</v>
      </c>
      <c r="F29" s="1">
        <v>-0.17169999999999999</v>
      </c>
      <c r="G29" s="1">
        <v>-0.19170000000000001</v>
      </c>
      <c r="H29" s="1">
        <v>-0.16830000000000001</v>
      </c>
      <c r="I29" s="1">
        <v>-0.217</v>
      </c>
    </row>
    <row r="30" spans="1:9" x14ac:dyDescent="0.55000000000000004">
      <c r="A30" t="s">
        <v>7</v>
      </c>
      <c r="B30" s="1">
        <v>-1.4</v>
      </c>
      <c r="C30" s="1">
        <v>-0.8</v>
      </c>
      <c r="D30" s="1">
        <v>-0.3</v>
      </c>
      <c r="E30" s="1">
        <v>-1.3</v>
      </c>
      <c r="F30" s="1">
        <v>-0.9</v>
      </c>
      <c r="G30" s="1">
        <v>-0.4</v>
      </c>
      <c r="H30" s="1">
        <v>-0.2</v>
      </c>
      <c r="I30" s="1">
        <v>1.38</v>
      </c>
    </row>
    <row r="31" spans="1:9" x14ac:dyDescent="0.55000000000000004">
      <c r="A31" t="s">
        <v>8</v>
      </c>
      <c r="B31" s="1">
        <v>9.3332999999999995</v>
      </c>
      <c r="C31" s="1">
        <v>6.6666999999999996</v>
      </c>
      <c r="D31" s="1">
        <v>4.6666999999999996</v>
      </c>
      <c r="E31" s="1">
        <v>8.6667000000000005</v>
      </c>
      <c r="F31" s="1">
        <v>6.6666999999999996</v>
      </c>
      <c r="G31" s="1">
        <v>4.6666999999999996</v>
      </c>
      <c r="H31" s="1">
        <v>3.3332999999999999</v>
      </c>
      <c r="I31" s="1">
        <v>-4</v>
      </c>
    </row>
  </sheetData>
  <mergeCells count="2">
    <mergeCell ref="F4:I4"/>
    <mergeCell ref="F6:I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1"/>
  <sheetViews>
    <sheetView zoomScale="70" zoomScaleNormal="70" workbookViewId="0">
      <selection activeCell="S12" sqref="S12"/>
    </sheetView>
  </sheetViews>
  <sheetFormatPr defaultColWidth="9.15625" defaultRowHeight="15" customHeight="1" x14ac:dyDescent="0.55000000000000004"/>
  <cols>
    <col min="1" max="9" width="9.15625" customWidth="1"/>
    <col min="10" max="10" width="2.41796875" customWidth="1"/>
    <col min="11" max="14" width="9.15625" customWidth="1"/>
  </cols>
  <sheetData>
    <row r="2" spans="2:26" ht="14.4" x14ac:dyDescent="0.55000000000000004">
      <c r="B2" t="s">
        <v>4</v>
      </c>
      <c r="C2" s="1">
        <f>'Dati Generali'!D8</f>
        <v>0.1</v>
      </c>
      <c r="D2" s="1" t="s">
        <v>14</v>
      </c>
    </row>
    <row r="3" spans="2:26" ht="14.4" x14ac:dyDescent="0.55000000000000004">
      <c r="B3" t="s">
        <v>3</v>
      </c>
      <c r="C3" s="8">
        <f>'Dati Generali'!D17</f>
        <v>1.2857142857142859E-2</v>
      </c>
      <c r="D3" s="1" t="s">
        <v>15</v>
      </c>
    </row>
    <row r="4" spans="2:26" ht="14.4" x14ac:dyDescent="0.55000000000000004">
      <c r="B4" t="s">
        <v>17</v>
      </c>
      <c r="C4" s="11">
        <f>IF(C3="","",N4+N5*C3+N6*C3^2+N7*I53)</f>
        <v>1.0277710408163265</v>
      </c>
      <c r="D4" s="1" t="s">
        <v>16</v>
      </c>
      <c r="F4" s="94" t="s">
        <v>10</v>
      </c>
      <c r="G4" s="95"/>
      <c r="H4" s="95"/>
      <c r="I4" s="96"/>
      <c r="M4" t="s">
        <v>5</v>
      </c>
      <c r="N4">
        <f>LOOKUP($C$2,$B$21:$I$21,B28:I28)</f>
        <v>1.0289999999999999</v>
      </c>
    </row>
    <row r="5" spans="2:26" ht="14.4" x14ac:dyDescent="0.55000000000000004">
      <c r="F5" s="7">
        <v>0</v>
      </c>
      <c r="G5" s="7">
        <v>0.05</v>
      </c>
      <c r="H5" s="7">
        <v>0.1</v>
      </c>
      <c r="I5" s="7">
        <v>0.15</v>
      </c>
      <c r="M5" t="s">
        <v>6</v>
      </c>
      <c r="N5">
        <f t="shared" ref="N5:N7" si="0">LOOKUP($C$2,$B$21:$I$21,B29:I29)</f>
        <v>-0.1033</v>
      </c>
    </row>
    <row r="6" spans="2:26" ht="14.4" x14ac:dyDescent="0.55000000000000004">
      <c r="E6" s="6" t="s">
        <v>11</v>
      </c>
      <c r="F6" s="97" t="s">
        <v>18</v>
      </c>
      <c r="G6" s="98"/>
      <c r="H6" s="98"/>
      <c r="I6" s="99"/>
      <c r="M6" t="s">
        <v>7</v>
      </c>
      <c r="N6">
        <f t="shared" si="0"/>
        <v>0.6</v>
      </c>
    </row>
    <row r="7" spans="2:26" ht="14.4" x14ac:dyDescent="0.55000000000000004">
      <c r="E7" s="4">
        <v>0.05</v>
      </c>
      <c r="F7" s="2">
        <v>1.0129999999999999</v>
      </c>
      <c r="G7" s="2">
        <v>1.0129999999999999</v>
      </c>
      <c r="H7" s="2">
        <v>1.012</v>
      </c>
      <c r="I7" s="2">
        <v>1.0109999999999999</v>
      </c>
      <c r="M7" t="s">
        <v>8</v>
      </c>
      <c r="N7">
        <f t="shared" si="0"/>
        <v>-2.6667000000000001</v>
      </c>
    </row>
    <row r="8" spans="2:26" ht="14.4" x14ac:dyDescent="0.55000000000000004">
      <c r="E8" s="4">
        <v>7.4999999999999997E-2</v>
      </c>
      <c r="F8" s="2">
        <v>1.0209999999999999</v>
      </c>
      <c r="G8" s="2">
        <v>1.0189999999999999</v>
      </c>
      <c r="H8" s="2">
        <v>1.016</v>
      </c>
      <c r="I8" s="2">
        <v>1.014</v>
      </c>
    </row>
    <row r="9" spans="2:26" ht="14.4" x14ac:dyDescent="0.55000000000000004">
      <c r="E9" s="4">
        <v>0.1</v>
      </c>
      <c r="F9" s="2">
        <v>1.0289999999999999</v>
      </c>
      <c r="G9" s="2">
        <v>1.0249999999999999</v>
      </c>
      <c r="H9" s="2">
        <v>1.022</v>
      </c>
      <c r="I9" s="2">
        <v>1.018</v>
      </c>
    </row>
    <row r="10" spans="2:26" ht="14.4" x14ac:dyDescent="0.55000000000000004">
      <c r="E10" s="4">
        <v>0.15</v>
      </c>
      <c r="F10" s="2">
        <v>1.04</v>
      </c>
      <c r="G10" s="2">
        <v>1.034</v>
      </c>
      <c r="H10" s="2">
        <v>1.0289999999999999</v>
      </c>
      <c r="I10" s="2">
        <v>1.024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4.4" x14ac:dyDescent="0.55000000000000004">
      <c r="E11" s="4">
        <v>0.2</v>
      </c>
      <c r="F11" s="2">
        <v>1.046</v>
      </c>
      <c r="G11" s="2">
        <v>1.04</v>
      </c>
      <c r="H11" s="2">
        <v>1.0349999999999999</v>
      </c>
      <c r="I11" s="2">
        <v>1.03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4.4" x14ac:dyDescent="0.55000000000000004">
      <c r="E12" s="4">
        <v>0.22500000000000001</v>
      </c>
      <c r="F12" s="2">
        <v>1.0489999999999999</v>
      </c>
      <c r="G12" s="2">
        <v>1.0429999999999999</v>
      </c>
      <c r="H12" s="2">
        <v>1.038</v>
      </c>
      <c r="I12" s="2">
        <v>1.0329999999999999</v>
      </c>
      <c r="Q12" s="9"/>
      <c r="R12" s="10"/>
      <c r="S12" s="10"/>
      <c r="T12" s="10"/>
      <c r="U12" s="10"/>
      <c r="V12" s="10"/>
      <c r="W12" s="10"/>
      <c r="X12" s="10"/>
      <c r="Y12" s="10"/>
      <c r="Z12" s="9"/>
    </row>
    <row r="13" spans="2:26" ht="14.4" x14ac:dyDescent="0.55000000000000004">
      <c r="E13" s="4">
        <v>0.3</v>
      </c>
      <c r="F13" s="2">
        <v>1.0529999999999999</v>
      </c>
      <c r="G13" s="2">
        <v>1.0489999999999999</v>
      </c>
      <c r="H13" s="2">
        <v>1.044</v>
      </c>
      <c r="I13" s="2">
        <v>1.0389999999999999</v>
      </c>
      <c r="Q13" s="9"/>
      <c r="R13" s="10"/>
      <c r="S13" s="10"/>
      <c r="T13" s="10"/>
      <c r="U13" s="10"/>
      <c r="V13" s="10"/>
      <c r="W13" s="10"/>
      <c r="X13" s="10"/>
      <c r="Y13" s="10"/>
      <c r="Z13" s="9"/>
    </row>
    <row r="14" spans="2:26" ht="14.4" x14ac:dyDescent="0.55000000000000004">
      <c r="E14" s="5">
        <v>0.375</v>
      </c>
      <c r="F14" s="3">
        <v>1.056</v>
      </c>
      <c r="G14" s="3">
        <v>1.0509999999999999</v>
      </c>
      <c r="H14" s="3">
        <v>1.046</v>
      </c>
      <c r="I14" s="3">
        <v>1.042</v>
      </c>
      <c r="Q14" s="9"/>
      <c r="R14" s="10"/>
      <c r="S14" s="10"/>
      <c r="T14" s="10"/>
      <c r="U14" s="10"/>
      <c r="V14" s="10"/>
      <c r="W14" s="10"/>
      <c r="X14" s="10"/>
      <c r="Y14" s="10"/>
      <c r="Z14" s="9"/>
    </row>
    <row r="15" spans="2:26" ht="12" customHeight="1" x14ac:dyDescent="0.55000000000000004">
      <c r="Q15" s="9"/>
      <c r="R15" s="10"/>
      <c r="S15" s="10"/>
      <c r="T15" s="10"/>
      <c r="U15" s="10"/>
      <c r="V15" s="10"/>
      <c r="W15" s="10"/>
      <c r="X15" s="10"/>
      <c r="Y15" s="10"/>
      <c r="Z15" s="9"/>
    </row>
    <row r="16" spans="2:26" ht="14.4" x14ac:dyDescent="0.55000000000000004"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4" x14ac:dyDescent="0.55000000000000004"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4" x14ac:dyDescent="0.55000000000000004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4" x14ac:dyDescent="0.55000000000000004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4" x14ac:dyDescent="0.55000000000000004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4" x14ac:dyDescent="0.55000000000000004">
      <c r="B21" s="1">
        <v>0.05</v>
      </c>
      <c r="C21" s="1">
        <v>7.4999999999999997E-2</v>
      </c>
      <c r="D21" s="1">
        <v>0.1</v>
      </c>
      <c r="E21" s="1">
        <v>0.15</v>
      </c>
      <c r="F21" s="1">
        <v>0.2</v>
      </c>
      <c r="G21" s="1">
        <v>0.22500000000000001</v>
      </c>
      <c r="H21" s="1">
        <v>0.3</v>
      </c>
      <c r="I21" s="1">
        <v>0.375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4" x14ac:dyDescent="0.55000000000000004">
      <c r="A22" s="1"/>
      <c r="B22" s="1"/>
      <c r="C22" s="1"/>
      <c r="D22" s="1"/>
      <c r="E22" s="1"/>
      <c r="F22" s="1"/>
      <c r="G22" s="1"/>
      <c r="H22" s="1"/>
      <c r="I22" s="1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4" x14ac:dyDescent="0.55000000000000004">
      <c r="A23" s="10">
        <v>0</v>
      </c>
      <c r="B23" s="10">
        <v>1.0129999999999999</v>
      </c>
      <c r="C23" s="10">
        <v>1.0209999999999999</v>
      </c>
      <c r="D23" s="10">
        <v>1.0289999999999999</v>
      </c>
      <c r="E23" s="10">
        <v>1.04</v>
      </c>
      <c r="F23" s="10">
        <v>1.046</v>
      </c>
      <c r="G23" s="10">
        <v>1.0489999999999999</v>
      </c>
      <c r="H23" s="10">
        <v>1.0529999999999999</v>
      </c>
      <c r="I23" s="10">
        <v>1.056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4" x14ac:dyDescent="0.55000000000000004">
      <c r="A24" s="10">
        <v>0.05</v>
      </c>
      <c r="B24" s="10">
        <v>1.0129999999999999</v>
      </c>
      <c r="C24" s="10">
        <v>1.0189999999999999</v>
      </c>
      <c r="D24" s="10">
        <v>1.0249999999999999</v>
      </c>
      <c r="E24" s="10">
        <v>1.034</v>
      </c>
      <c r="F24" s="10">
        <v>1.04</v>
      </c>
      <c r="G24" s="10">
        <v>1.0429999999999999</v>
      </c>
      <c r="H24" s="10">
        <v>1.0489999999999999</v>
      </c>
      <c r="I24" s="10">
        <v>1.0509999999999999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4" x14ac:dyDescent="0.55000000000000004">
      <c r="A25" s="10">
        <v>0.1</v>
      </c>
      <c r="B25" s="10">
        <v>1.012</v>
      </c>
      <c r="C25" s="10">
        <v>1.016</v>
      </c>
      <c r="D25" s="10">
        <v>1.022</v>
      </c>
      <c r="E25" s="10">
        <v>1.0289999999999999</v>
      </c>
      <c r="F25" s="10">
        <v>1.0349999999999999</v>
      </c>
      <c r="G25" s="10">
        <v>1.038</v>
      </c>
      <c r="H25" s="10">
        <v>1.044</v>
      </c>
      <c r="I25" s="10">
        <v>1.046</v>
      </c>
    </row>
    <row r="26" spans="1:26" ht="14.4" x14ac:dyDescent="0.55000000000000004">
      <c r="A26" s="10">
        <v>0.15</v>
      </c>
      <c r="B26" s="10">
        <v>1.0109999999999999</v>
      </c>
      <c r="C26" s="10">
        <v>1.014</v>
      </c>
      <c r="D26" s="10">
        <v>1.018</v>
      </c>
      <c r="E26" s="10">
        <v>1.024</v>
      </c>
      <c r="F26" s="10">
        <v>1.03</v>
      </c>
      <c r="G26" s="10">
        <v>1.0329999999999999</v>
      </c>
      <c r="H26" s="10">
        <v>1.0389999999999999</v>
      </c>
      <c r="I26" s="10">
        <v>1.042</v>
      </c>
    </row>
    <row r="28" spans="1:26" ht="14.4" x14ac:dyDescent="0.55000000000000004">
      <c r="A28" t="s">
        <v>5</v>
      </c>
      <c r="B28" s="1">
        <v>1.0129999999999999</v>
      </c>
      <c r="C28" s="1">
        <v>1.0209999999999999</v>
      </c>
      <c r="D28" s="1">
        <v>1.0289999999999999</v>
      </c>
      <c r="E28" s="1">
        <v>1.04</v>
      </c>
      <c r="F28" s="1">
        <v>1.046</v>
      </c>
      <c r="G28" s="1">
        <v>1.0489999999999999</v>
      </c>
      <c r="H28" s="1">
        <v>1.0529999999999999</v>
      </c>
      <c r="I28" s="1">
        <v>1.056</v>
      </c>
    </row>
    <row r="29" spans="1:26" ht="14.4" x14ac:dyDescent="0.55000000000000004">
      <c r="A29" t="s">
        <v>6</v>
      </c>
      <c r="B29" s="1">
        <v>1.67E-2</v>
      </c>
      <c r="C29" s="1">
        <v>-1.67E-2</v>
      </c>
      <c r="D29" s="1">
        <v>-0.1033</v>
      </c>
      <c r="E29" s="1">
        <v>-0.13669999999999999</v>
      </c>
      <c r="F29" s="1">
        <v>-0.13669999999999999</v>
      </c>
      <c r="G29" s="1">
        <v>-0.13669999999999999</v>
      </c>
      <c r="H29" s="1">
        <v>-6.3299999999999995E-2</v>
      </c>
      <c r="I29" s="1">
        <v>-9.3299999999999994E-2</v>
      </c>
    </row>
    <row r="30" spans="1:26" ht="14.4" x14ac:dyDescent="0.55000000000000004">
      <c r="A30" t="s">
        <v>7</v>
      </c>
      <c r="B30" s="1">
        <v>-0.4</v>
      </c>
      <c r="C30" s="1">
        <v>-0.6</v>
      </c>
      <c r="D30" s="1">
        <v>0.6</v>
      </c>
      <c r="E30" s="1">
        <v>0.4</v>
      </c>
      <c r="F30" s="1">
        <v>0.4</v>
      </c>
      <c r="G30" s="1">
        <v>0.4</v>
      </c>
      <c r="H30" s="1">
        <v>-0.4</v>
      </c>
      <c r="I30" s="1">
        <v>-0.2</v>
      </c>
    </row>
    <row r="31" spans="1:26" ht="14.4" x14ac:dyDescent="0.55000000000000004">
      <c r="A31" t="s">
        <v>8</v>
      </c>
      <c r="B31" s="1">
        <v>1.3332999999999999</v>
      </c>
      <c r="C31" s="1">
        <v>2.6667000000000001</v>
      </c>
      <c r="D31" s="1">
        <v>-2.6667000000000001</v>
      </c>
      <c r="E31" s="1">
        <v>-1.3332999999999999</v>
      </c>
      <c r="F31" s="1">
        <v>-1.3332999999999999</v>
      </c>
      <c r="G31" s="1">
        <v>-1.3332999999999999</v>
      </c>
      <c r="H31" s="1">
        <v>1.3332999999999999</v>
      </c>
      <c r="I31" s="1">
        <v>1.3332999999999999</v>
      </c>
    </row>
  </sheetData>
  <mergeCells count="2">
    <mergeCell ref="F4:I4"/>
    <mergeCell ref="F6:I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64"/>
  <sheetViews>
    <sheetView zoomScale="85" zoomScaleNormal="85" workbookViewId="0">
      <selection activeCell="C8" sqref="C8"/>
    </sheetView>
  </sheetViews>
  <sheetFormatPr defaultColWidth="9.15625" defaultRowHeight="15" customHeight="1" x14ac:dyDescent="0.55000000000000004"/>
  <cols>
    <col min="1" max="2" width="9.15625" customWidth="1"/>
    <col min="3" max="3" width="10.26171875" bestFit="1" customWidth="1"/>
    <col min="4" max="14" width="9.15625" customWidth="1"/>
    <col min="15" max="15" width="2.578125" customWidth="1"/>
    <col min="18" max="18" width="23.83984375" bestFit="1" customWidth="1"/>
    <col min="19" max="19" width="22.15625" bestFit="1" customWidth="1"/>
    <col min="20" max="20" width="23.41796875" customWidth="1"/>
    <col min="21" max="21" width="23.83984375" customWidth="1"/>
  </cols>
  <sheetData>
    <row r="2" spans="2:26" ht="14.4" x14ac:dyDescent="0.55000000000000004">
      <c r="B2" t="s">
        <v>0</v>
      </c>
      <c r="C2" s="1">
        <f>'Dati Generali'!D8</f>
        <v>0.1</v>
      </c>
      <c r="D2" s="1" t="s">
        <v>14</v>
      </c>
    </row>
    <row r="3" spans="2:26" ht="14.4" x14ac:dyDescent="0.55000000000000004">
      <c r="B3" t="s">
        <v>21</v>
      </c>
      <c r="C3" s="1">
        <f>'Dati Generali'!D15</f>
        <v>0.03</v>
      </c>
      <c r="D3" s="1" t="s">
        <v>14</v>
      </c>
    </row>
    <row r="4" spans="2:26" ht="14.4" x14ac:dyDescent="0.55000000000000004">
      <c r="B4" t="s">
        <v>20</v>
      </c>
      <c r="C4" s="8">
        <f>'Dati Generali'!D16</f>
        <v>1.2</v>
      </c>
      <c r="D4" s="1" t="s">
        <v>22</v>
      </c>
    </row>
    <row r="5" spans="2:26" ht="14.4" x14ac:dyDescent="0.55000000000000004">
      <c r="B5" t="s">
        <v>23</v>
      </c>
      <c r="C5" s="13">
        <f>C3/C4</f>
        <v>2.5000000000000001E-2</v>
      </c>
      <c r="D5" s="1" t="s">
        <v>15</v>
      </c>
    </row>
    <row r="6" spans="2:26" ht="14.4" x14ac:dyDescent="0.55000000000000004">
      <c r="B6" t="s">
        <v>19</v>
      </c>
      <c r="C6" s="12">
        <f>IF(C5="","dati mancanti",IF(C5&gt;0.0792,S14,R14))</f>
        <v>79.688609374999999</v>
      </c>
      <c r="D6" s="1" t="s">
        <v>16</v>
      </c>
      <c r="F6" s="101" t="s">
        <v>26</v>
      </c>
      <c r="G6" s="101"/>
      <c r="H6" s="101"/>
      <c r="I6" s="101"/>
      <c r="J6" s="101"/>
      <c r="K6" s="101"/>
      <c r="L6" s="101"/>
      <c r="M6" s="101"/>
      <c r="N6" s="101"/>
    </row>
    <row r="7" spans="2:26" ht="14.4" x14ac:dyDescent="0.55000000000000004">
      <c r="F7" s="7">
        <v>0.01</v>
      </c>
      <c r="G7" s="7">
        <v>2.0799999999999999E-2</v>
      </c>
      <c r="H7" s="7">
        <v>2.92E-2</v>
      </c>
      <c r="I7" s="7">
        <v>3.7499999999999999E-2</v>
      </c>
      <c r="J7" s="7">
        <v>4.58E-2</v>
      </c>
      <c r="K7" s="7">
        <v>5.4199999999999998E-2</v>
      </c>
      <c r="L7" s="7">
        <v>6.25E-2</v>
      </c>
      <c r="M7" s="7">
        <v>7.0800000000000002E-2</v>
      </c>
      <c r="N7" s="7">
        <v>7.9200000000000007E-2</v>
      </c>
      <c r="R7" s="1" t="s">
        <v>60</v>
      </c>
      <c r="S7" s="1" t="s">
        <v>59</v>
      </c>
    </row>
    <row r="8" spans="2:26" ht="14.4" x14ac:dyDescent="0.55000000000000004">
      <c r="E8" s="6" t="s">
        <v>11</v>
      </c>
      <c r="F8" s="100" t="s">
        <v>25</v>
      </c>
      <c r="G8" s="100"/>
      <c r="H8" s="100"/>
      <c r="I8" s="100"/>
      <c r="J8" s="100"/>
      <c r="K8" s="100"/>
      <c r="L8" s="100"/>
      <c r="M8" s="100"/>
      <c r="N8" s="100"/>
      <c r="Q8" t="s">
        <v>5</v>
      </c>
      <c r="R8" s="1">
        <f>LOOKUP($C$2,$B$23:$I$23,B35:I35)</f>
        <v>55.412999999999997</v>
      </c>
      <c r="S8" s="1">
        <f>C61</f>
        <v>-73.790000000000006</v>
      </c>
    </row>
    <row r="9" spans="2:26" ht="14.4" x14ac:dyDescent="0.55000000000000004">
      <c r="E9" s="4">
        <v>0.05</v>
      </c>
      <c r="F9" s="2">
        <v>85</v>
      </c>
      <c r="G9" s="2">
        <v>91.5</v>
      </c>
      <c r="H9" s="2">
        <v>96.8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100</v>
      </c>
      <c r="Q9" t="s">
        <v>6</v>
      </c>
      <c r="R9" s="1">
        <f>LOOKUP($C$2,$B$23:$I$23,B36:I36)</f>
        <v>1042.2</v>
      </c>
      <c r="S9" s="1">
        <f>C62</f>
        <v>792.51</v>
      </c>
    </row>
    <row r="10" spans="2:26" ht="14.4" x14ac:dyDescent="0.55000000000000004">
      <c r="E10" s="4">
        <v>7.4999999999999997E-2</v>
      </c>
      <c r="F10" s="2">
        <v>75.3</v>
      </c>
      <c r="G10" s="2">
        <v>83.5</v>
      </c>
      <c r="H10" s="2">
        <v>89.9</v>
      </c>
      <c r="I10" s="2">
        <v>96.3</v>
      </c>
      <c r="J10" s="2">
        <v>99.5</v>
      </c>
      <c r="K10" s="2">
        <v>100</v>
      </c>
      <c r="L10" s="2">
        <v>100</v>
      </c>
      <c r="M10" s="2">
        <v>100</v>
      </c>
      <c r="N10" s="2">
        <v>100</v>
      </c>
      <c r="Q10" t="s">
        <v>7</v>
      </c>
      <c r="R10" s="1">
        <f>LOOKUP($C$2,$B$23:$I$23,B37:I37)</f>
        <v>-1323.8</v>
      </c>
      <c r="S10" s="1">
        <f>C63</f>
        <v>-1268.5999999999999</v>
      </c>
    </row>
    <row r="11" spans="2:26" ht="14.4" x14ac:dyDescent="0.55000000000000004">
      <c r="E11" s="4">
        <v>0.1</v>
      </c>
      <c r="F11" s="2">
        <v>66</v>
      </c>
      <c r="G11" s="2">
        <v>75.400000000000006</v>
      </c>
      <c r="H11" s="2">
        <v>82.9</v>
      </c>
      <c r="I11" s="2">
        <v>89.3</v>
      </c>
      <c r="J11" s="2">
        <v>95.5</v>
      </c>
      <c r="K11" s="2">
        <v>98.8</v>
      </c>
      <c r="L11" s="2">
        <v>100</v>
      </c>
      <c r="M11" s="2">
        <v>100</v>
      </c>
      <c r="N11" s="2">
        <v>100</v>
      </c>
      <c r="Q11" t="s">
        <v>8</v>
      </c>
      <c r="R11" s="1">
        <f>LOOKUP($C$2,$B$23:$I$23,B38:I38)</f>
        <v>-60929</v>
      </c>
      <c r="S11" s="1">
        <f>C64</f>
        <v>697.87</v>
      </c>
    </row>
    <row r="12" spans="2:26" ht="14.4" x14ac:dyDescent="0.55000000000000004">
      <c r="E12" s="4">
        <v>0.15</v>
      </c>
      <c r="F12" s="2">
        <v>51</v>
      </c>
      <c r="G12" s="2">
        <v>61.1</v>
      </c>
      <c r="H12" s="2">
        <v>69.2</v>
      </c>
      <c r="I12" s="2">
        <v>76.3</v>
      </c>
      <c r="J12" s="2">
        <v>82.7</v>
      </c>
      <c r="K12" s="2">
        <v>87.5</v>
      </c>
      <c r="L12" s="2">
        <v>91.8</v>
      </c>
      <c r="M12" s="2">
        <v>95.1</v>
      </c>
      <c r="N12" s="2">
        <v>97.8</v>
      </c>
      <c r="Y12" s="9"/>
      <c r="Z12" s="9"/>
    </row>
    <row r="13" spans="2:26" ht="14.4" x14ac:dyDescent="0.55000000000000004">
      <c r="E13" s="4">
        <v>0.2</v>
      </c>
      <c r="F13" s="2">
        <v>38.5</v>
      </c>
      <c r="G13" s="2">
        <v>48.2</v>
      </c>
      <c r="H13" s="2">
        <v>56.2</v>
      </c>
      <c r="I13" s="2">
        <v>63.1</v>
      </c>
      <c r="J13" s="2">
        <v>69.099999999999994</v>
      </c>
      <c r="K13" s="2">
        <v>74.5</v>
      </c>
      <c r="L13" s="2">
        <v>81.3</v>
      </c>
      <c r="M13" s="2">
        <v>86.4</v>
      </c>
      <c r="N13" s="2">
        <v>90</v>
      </c>
      <c r="R13" s="22" t="s">
        <v>48</v>
      </c>
      <c r="S13" s="1">
        <f>C3/C2</f>
        <v>0.3</v>
      </c>
      <c r="Y13" s="9"/>
      <c r="Z13" s="9"/>
    </row>
    <row r="14" spans="2:26" ht="14.4" x14ac:dyDescent="0.55000000000000004">
      <c r="E14" s="4">
        <v>0.22500000000000001</v>
      </c>
      <c r="F14" s="2">
        <v>33</v>
      </c>
      <c r="G14" s="2">
        <v>42.5</v>
      </c>
      <c r="H14" s="2">
        <v>49.5</v>
      </c>
      <c r="I14" s="2">
        <v>56.5</v>
      </c>
      <c r="J14" s="2">
        <v>62</v>
      </c>
      <c r="K14" s="2">
        <v>67.5</v>
      </c>
      <c r="L14" s="2">
        <v>75.3</v>
      </c>
      <c r="M14" s="2">
        <v>81.599999999999994</v>
      </c>
      <c r="N14" s="2">
        <v>86.1</v>
      </c>
      <c r="P14" s="9"/>
      <c r="R14" s="23">
        <f>R8+R9*C5+R10*C5^2+R11*C5^3</f>
        <v>79.688609374999999</v>
      </c>
      <c r="S14" s="1">
        <f>IF(S13&gt;0.75,100,S8+S9*S13+S10*S13^2+S11*S13^3)</f>
        <v>68.631489999999971</v>
      </c>
      <c r="T14" s="9"/>
      <c r="U14" s="9"/>
      <c r="V14" s="9"/>
      <c r="Y14" s="10"/>
      <c r="Z14" s="9"/>
    </row>
    <row r="15" spans="2:26" ht="14.4" x14ac:dyDescent="0.55000000000000004">
      <c r="E15" s="4">
        <v>0.3</v>
      </c>
      <c r="F15" s="2">
        <v>20.5</v>
      </c>
      <c r="G15" s="2">
        <v>26.8</v>
      </c>
      <c r="H15" s="2">
        <v>31.6</v>
      </c>
      <c r="I15" s="2">
        <v>36.4</v>
      </c>
      <c r="J15" s="2">
        <v>41.5</v>
      </c>
      <c r="K15" s="2">
        <v>47.5</v>
      </c>
      <c r="L15" s="2">
        <v>57.5</v>
      </c>
      <c r="M15" s="2">
        <v>65.3</v>
      </c>
      <c r="N15" s="2">
        <v>72.400000000000006</v>
      </c>
      <c r="P15" s="9"/>
      <c r="Q15" s="9"/>
      <c r="R15" s="9"/>
      <c r="S15" s="9"/>
      <c r="T15" s="9"/>
      <c r="U15" s="9"/>
      <c r="V15" s="9"/>
      <c r="W15" s="10"/>
      <c r="X15" s="10"/>
      <c r="Y15" s="10"/>
      <c r="Z15" s="9"/>
    </row>
    <row r="16" spans="2:26" ht="14.4" x14ac:dyDescent="0.55000000000000004">
      <c r="E16" s="5">
        <v>0.375</v>
      </c>
      <c r="F16" s="3">
        <v>11.5</v>
      </c>
      <c r="G16" s="3">
        <v>13.7</v>
      </c>
      <c r="H16" s="3">
        <v>15.5</v>
      </c>
      <c r="I16" s="3">
        <v>18.2</v>
      </c>
      <c r="J16" s="3">
        <v>21.5</v>
      </c>
      <c r="K16" s="3">
        <v>27.5</v>
      </c>
      <c r="L16" s="3">
        <v>40</v>
      </c>
      <c r="M16" s="3">
        <v>49.1</v>
      </c>
      <c r="N16" s="3">
        <v>58.3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9"/>
    </row>
    <row r="17" spans="1:26" ht="13.5" customHeight="1" x14ac:dyDescent="0.55000000000000004">
      <c r="Q17" s="9"/>
      <c r="R17" s="10"/>
      <c r="S17" s="10"/>
      <c r="T17" s="10"/>
      <c r="U17" s="10"/>
      <c r="V17" s="10"/>
      <c r="W17" s="10"/>
      <c r="X17" s="10"/>
      <c r="Y17" s="10"/>
      <c r="Z17" s="9"/>
    </row>
    <row r="18" spans="1:26" ht="14.4" x14ac:dyDescent="0.55000000000000004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4" x14ac:dyDescent="0.55000000000000004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4" x14ac:dyDescent="0.55000000000000004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4" x14ac:dyDescent="0.55000000000000004"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4" x14ac:dyDescent="0.55000000000000004">
      <c r="B22" s="102" t="s">
        <v>0</v>
      </c>
      <c r="C22" s="102"/>
      <c r="D22" s="102"/>
      <c r="E22" s="102"/>
      <c r="F22" s="102"/>
      <c r="G22" s="102"/>
      <c r="H22" s="102"/>
      <c r="I22" s="10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4" x14ac:dyDescent="0.55000000000000004">
      <c r="B23" s="1">
        <v>0.05</v>
      </c>
      <c r="C23" s="1">
        <v>7.4999999999999997E-2</v>
      </c>
      <c r="D23" s="1">
        <v>0.1</v>
      </c>
      <c r="E23" s="1">
        <v>0.15</v>
      </c>
      <c r="F23" s="1">
        <v>0.2</v>
      </c>
      <c r="G23" s="1">
        <v>0.22500000000000001</v>
      </c>
      <c r="H23" s="1">
        <v>0.3</v>
      </c>
      <c r="I23" s="1">
        <v>0.375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4" x14ac:dyDescent="0.55000000000000004">
      <c r="A24" s="1" t="s">
        <v>58</v>
      </c>
      <c r="B24" s="1"/>
      <c r="C24" s="1"/>
      <c r="D24" s="1"/>
      <c r="E24" s="1"/>
      <c r="F24" s="1"/>
      <c r="G24" s="1"/>
      <c r="H24" s="1"/>
      <c r="I24" s="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4" x14ac:dyDescent="0.55000000000000004">
      <c r="A25">
        <v>0.01</v>
      </c>
      <c r="B25">
        <v>85</v>
      </c>
      <c r="C25">
        <v>75.3</v>
      </c>
      <c r="D25">
        <v>66</v>
      </c>
      <c r="E25">
        <v>51</v>
      </c>
      <c r="F25">
        <v>38.5</v>
      </c>
      <c r="G25">
        <v>33</v>
      </c>
      <c r="H25">
        <v>20.5</v>
      </c>
      <c r="I25">
        <v>11.5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4" x14ac:dyDescent="0.55000000000000004">
      <c r="A26">
        <v>2.0799999999999999E-2</v>
      </c>
      <c r="B26">
        <v>91.5</v>
      </c>
      <c r="C26">
        <v>83.5</v>
      </c>
      <c r="D26">
        <v>75.400000000000006</v>
      </c>
      <c r="E26">
        <v>61.1</v>
      </c>
      <c r="F26">
        <v>48.2</v>
      </c>
      <c r="G26">
        <v>42.5</v>
      </c>
      <c r="H26">
        <v>26.8</v>
      </c>
      <c r="I26">
        <v>13.7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4" x14ac:dyDescent="0.55000000000000004">
      <c r="A27">
        <v>2.92E-2</v>
      </c>
      <c r="B27">
        <v>96.8</v>
      </c>
      <c r="C27">
        <v>89.9</v>
      </c>
      <c r="D27">
        <v>82.9</v>
      </c>
      <c r="E27">
        <v>69.2</v>
      </c>
      <c r="F27">
        <v>56.2</v>
      </c>
      <c r="G27">
        <v>49.5</v>
      </c>
      <c r="H27">
        <v>31.6</v>
      </c>
      <c r="I27">
        <v>15.5</v>
      </c>
    </row>
    <row r="28" spans="1:26" ht="14.4" x14ac:dyDescent="0.55000000000000004">
      <c r="A28">
        <v>3.7499999999999999E-2</v>
      </c>
      <c r="B28">
        <v>100</v>
      </c>
      <c r="C28">
        <v>96.3</v>
      </c>
      <c r="D28">
        <v>89.3</v>
      </c>
      <c r="E28">
        <v>76.3</v>
      </c>
      <c r="F28">
        <v>63.1</v>
      </c>
      <c r="G28">
        <v>56.5</v>
      </c>
      <c r="H28">
        <v>36.4</v>
      </c>
      <c r="I28">
        <v>18.2</v>
      </c>
    </row>
    <row r="29" spans="1:26" ht="14.4" x14ac:dyDescent="0.55000000000000004">
      <c r="A29">
        <v>4.58E-2</v>
      </c>
      <c r="B29">
        <v>100</v>
      </c>
      <c r="C29">
        <v>99.5</v>
      </c>
      <c r="D29">
        <v>95.5</v>
      </c>
      <c r="E29">
        <v>82.7</v>
      </c>
      <c r="F29">
        <v>69.099999999999994</v>
      </c>
      <c r="G29">
        <v>62</v>
      </c>
      <c r="H29">
        <v>41.5</v>
      </c>
      <c r="I29">
        <v>21.5</v>
      </c>
    </row>
    <row r="30" spans="1:26" ht="14.4" x14ac:dyDescent="0.55000000000000004">
      <c r="A30">
        <v>5.4199999999999998E-2</v>
      </c>
      <c r="B30">
        <v>100</v>
      </c>
      <c r="C30">
        <v>100</v>
      </c>
      <c r="D30">
        <v>98.8</v>
      </c>
      <c r="E30">
        <v>87.5</v>
      </c>
      <c r="F30">
        <v>74.5</v>
      </c>
      <c r="G30">
        <v>67.5</v>
      </c>
      <c r="H30">
        <v>47.5</v>
      </c>
      <c r="I30">
        <v>27.5</v>
      </c>
    </row>
    <row r="31" spans="1:26" ht="14.4" x14ac:dyDescent="0.55000000000000004">
      <c r="A31">
        <v>6.25E-2</v>
      </c>
      <c r="B31">
        <v>100</v>
      </c>
      <c r="C31">
        <v>100</v>
      </c>
      <c r="D31">
        <v>100</v>
      </c>
      <c r="E31">
        <v>91.8</v>
      </c>
      <c r="F31">
        <v>81.3</v>
      </c>
      <c r="G31">
        <v>75.3</v>
      </c>
      <c r="H31">
        <v>57.5</v>
      </c>
      <c r="I31">
        <v>40</v>
      </c>
    </row>
    <row r="32" spans="1:26" ht="14.4" x14ac:dyDescent="0.55000000000000004">
      <c r="A32">
        <v>7.0800000000000002E-2</v>
      </c>
      <c r="B32">
        <v>100</v>
      </c>
      <c r="C32">
        <v>100</v>
      </c>
      <c r="D32">
        <v>100</v>
      </c>
      <c r="E32">
        <v>95.1</v>
      </c>
      <c r="F32">
        <v>86.4</v>
      </c>
      <c r="G32">
        <v>81.599999999999994</v>
      </c>
      <c r="H32">
        <v>65.3</v>
      </c>
      <c r="I32">
        <v>49.1</v>
      </c>
    </row>
    <row r="33" spans="1:9" ht="14.4" x14ac:dyDescent="0.55000000000000004">
      <c r="A33">
        <v>7.9200000000000007E-2</v>
      </c>
      <c r="B33">
        <v>100</v>
      </c>
      <c r="C33">
        <v>100</v>
      </c>
      <c r="D33">
        <v>100</v>
      </c>
      <c r="E33">
        <v>97.8</v>
      </c>
      <c r="F33">
        <v>90</v>
      </c>
      <c r="G33">
        <v>86.1</v>
      </c>
      <c r="H33">
        <v>72.400000000000006</v>
      </c>
      <c r="I33">
        <v>58.3</v>
      </c>
    </row>
    <row r="35" spans="1:9" ht="15" customHeight="1" x14ac:dyDescent="0.55000000000000004">
      <c r="A35" t="s">
        <v>5</v>
      </c>
      <c r="B35" s="1">
        <v>73.448999999999998</v>
      </c>
      <c r="C35" s="1">
        <v>62.66</v>
      </c>
      <c r="D35" s="1">
        <v>55.412999999999997</v>
      </c>
      <c r="E35" s="1">
        <v>40.042000000000002</v>
      </c>
      <c r="F35" s="1">
        <v>28.831</v>
      </c>
      <c r="G35" s="1">
        <v>24.079000000000001</v>
      </c>
      <c r="H35" s="1">
        <v>16.707999999999998</v>
      </c>
      <c r="I35" s="1">
        <v>13.746</v>
      </c>
    </row>
    <row r="36" spans="1:9" ht="15" customHeight="1" x14ac:dyDescent="0.55000000000000004">
      <c r="A36" t="s">
        <v>6</v>
      </c>
      <c r="B36" s="1">
        <v>1310</v>
      </c>
      <c r="C36" s="1">
        <v>1328.4</v>
      </c>
      <c r="D36" s="1">
        <v>1042.2</v>
      </c>
      <c r="E36" s="1">
        <v>1106.5</v>
      </c>
      <c r="F36" s="1">
        <v>983.06</v>
      </c>
      <c r="G36" s="1">
        <v>927.8</v>
      </c>
      <c r="H36" s="1">
        <v>386.59</v>
      </c>
      <c r="I36" s="1">
        <v>-245.18</v>
      </c>
    </row>
    <row r="37" spans="1:9" ht="15" customHeight="1" x14ac:dyDescent="0.55000000000000004">
      <c r="A37" t="s">
        <v>7</v>
      </c>
      <c r="B37" s="1">
        <v>-20822</v>
      </c>
      <c r="C37" s="1">
        <v>-13561</v>
      </c>
      <c r="D37" s="1">
        <v>-1323.8</v>
      </c>
      <c r="E37" s="1">
        <v>-2985</v>
      </c>
      <c r="F37" s="1">
        <v>-1606</v>
      </c>
      <c r="G37" s="1">
        <v>-2359.1</v>
      </c>
      <c r="H37" s="1">
        <v>3250.1</v>
      </c>
      <c r="I37" s="1">
        <v>8953.7000000000007</v>
      </c>
    </row>
    <row r="38" spans="1:9" ht="15" customHeight="1" x14ac:dyDescent="0.55000000000000004">
      <c r="A38" t="s">
        <v>8</v>
      </c>
      <c r="B38" s="1">
        <v>107352</v>
      </c>
      <c r="C38" s="1">
        <v>33413</v>
      </c>
      <c r="D38" s="1">
        <v>-60929</v>
      </c>
      <c r="E38" s="1">
        <v>-22816</v>
      </c>
      <c r="F38" s="1">
        <v>-12698</v>
      </c>
      <c r="G38" s="1">
        <v>7779.6</v>
      </c>
      <c r="H38" s="1">
        <v>10988</v>
      </c>
      <c r="I38" s="1">
        <v>18082</v>
      </c>
    </row>
    <row r="41" spans="1:9" ht="15" customHeight="1" x14ac:dyDescent="0.55000000000000004">
      <c r="B41" s="1"/>
      <c r="C41" s="1"/>
      <c r="D41" s="1"/>
      <c r="E41" s="1"/>
      <c r="F41" s="1"/>
      <c r="G41" s="1"/>
      <c r="H41" s="1"/>
      <c r="I41" s="1"/>
    </row>
    <row r="42" spans="1:9" ht="15" customHeight="1" x14ac:dyDescent="0.55000000000000004">
      <c r="B42" s="1"/>
      <c r="C42" s="1"/>
      <c r="D42" s="1"/>
      <c r="E42" s="1"/>
      <c r="F42" s="1"/>
      <c r="G42" s="1"/>
      <c r="H42" s="1"/>
      <c r="I42" s="1"/>
    </row>
    <row r="43" spans="1:9" ht="15" customHeight="1" x14ac:dyDescent="0.55000000000000004">
      <c r="B43" s="1"/>
      <c r="C43" s="1"/>
      <c r="D43" s="1"/>
      <c r="E43" s="1"/>
      <c r="F43" s="1"/>
      <c r="G43" s="1"/>
      <c r="H43" s="1"/>
      <c r="I43" s="1"/>
    </row>
    <row r="44" spans="1:9" ht="15" customHeight="1" x14ac:dyDescent="0.55000000000000004">
      <c r="B44" t="s">
        <v>57</v>
      </c>
    </row>
    <row r="46" spans="1:9" ht="15" customHeight="1" x14ac:dyDescent="0.55000000000000004">
      <c r="B46" s="15" t="s">
        <v>56</v>
      </c>
      <c r="C46" s="15" t="s">
        <v>19</v>
      </c>
    </row>
    <row r="47" spans="1:9" ht="15" customHeight="1" x14ac:dyDescent="0.55000000000000004">
      <c r="B47" s="15">
        <v>0.17299999999999999</v>
      </c>
      <c r="C47" s="15">
        <v>27.5</v>
      </c>
    </row>
    <row r="48" spans="1:9" ht="15" customHeight="1" x14ac:dyDescent="0.55000000000000004">
      <c r="B48" s="15">
        <v>0.2</v>
      </c>
      <c r="C48" s="15">
        <v>40</v>
      </c>
    </row>
    <row r="49" spans="2:3" ht="15" customHeight="1" x14ac:dyDescent="0.55000000000000004">
      <c r="B49" s="15">
        <v>0.25</v>
      </c>
      <c r="C49" s="15">
        <v>57.5</v>
      </c>
    </row>
    <row r="50" spans="2:3" ht="15" customHeight="1" x14ac:dyDescent="0.55000000000000004">
      <c r="B50" s="15">
        <v>0.3</v>
      </c>
      <c r="C50" s="15">
        <v>69.5</v>
      </c>
    </row>
    <row r="51" spans="2:3" ht="15" customHeight="1" x14ac:dyDescent="0.55000000000000004">
      <c r="B51" s="15">
        <v>0.35</v>
      </c>
      <c r="C51" s="15">
        <v>78.2</v>
      </c>
    </row>
    <row r="52" spans="2:3" ht="15" customHeight="1" x14ac:dyDescent="0.55000000000000004">
      <c r="B52" s="15">
        <v>0.4</v>
      </c>
      <c r="C52" s="15">
        <v>84.4</v>
      </c>
    </row>
    <row r="53" spans="2:3" ht="15" customHeight="1" x14ac:dyDescent="0.55000000000000004">
      <c r="B53" s="15">
        <v>0.45</v>
      </c>
      <c r="C53" s="15">
        <v>88.3</v>
      </c>
    </row>
    <row r="54" spans="2:3" ht="15" customHeight="1" x14ac:dyDescent="0.55000000000000004">
      <c r="B54" s="15">
        <v>0.5</v>
      </c>
      <c r="C54" s="15">
        <v>91.6</v>
      </c>
    </row>
    <row r="55" spans="2:3" ht="15" customHeight="1" x14ac:dyDescent="0.55000000000000004">
      <c r="B55" s="15">
        <v>0.55000000000000004</v>
      </c>
      <c r="C55" s="15">
        <v>94</v>
      </c>
    </row>
    <row r="56" spans="2:3" ht="15" customHeight="1" x14ac:dyDescent="0.55000000000000004">
      <c r="B56" s="15">
        <v>0.6</v>
      </c>
      <c r="C56" s="15">
        <v>96.3</v>
      </c>
    </row>
    <row r="57" spans="2:3" ht="15" customHeight="1" x14ac:dyDescent="0.55000000000000004">
      <c r="B57" s="15">
        <v>0.65</v>
      </c>
      <c r="C57" s="15">
        <v>98.6</v>
      </c>
    </row>
    <row r="58" spans="2:3" ht="15" customHeight="1" x14ac:dyDescent="0.55000000000000004">
      <c r="B58" s="15">
        <v>0.7</v>
      </c>
      <c r="C58" s="15">
        <v>99.8</v>
      </c>
    </row>
    <row r="59" spans="2:3" ht="15" customHeight="1" x14ac:dyDescent="0.55000000000000004">
      <c r="B59" s="15">
        <v>0.75</v>
      </c>
      <c r="C59" s="15">
        <v>100</v>
      </c>
    </row>
    <row r="61" spans="2:3" ht="15" customHeight="1" x14ac:dyDescent="0.55000000000000004">
      <c r="B61" t="s">
        <v>24</v>
      </c>
      <c r="C61">
        <v>-73.790000000000006</v>
      </c>
    </row>
    <row r="62" spans="2:3" ht="15" customHeight="1" x14ac:dyDescent="0.55000000000000004">
      <c r="B62" t="s">
        <v>6</v>
      </c>
      <c r="C62">
        <v>792.51</v>
      </c>
    </row>
    <row r="63" spans="2:3" ht="15" customHeight="1" x14ac:dyDescent="0.55000000000000004">
      <c r="B63" t="s">
        <v>7</v>
      </c>
      <c r="C63">
        <v>-1268.5999999999999</v>
      </c>
    </row>
    <row r="64" spans="2:3" ht="15" customHeight="1" x14ac:dyDescent="0.55000000000000004">
      <c r="B64" t="s">
        <v>8</v>
      </c>
      <c r="C64">
        <v>697.87</v>
      </c>
    </row>
  </sheetData>
  <mergeCells count="3">
    <mergeCell ref="F8:N8"/>
    <mergeCell ref="F6:N6"/>
    <mergeCell ref="B22:I2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65"/>
  <sheetViews>
    <sheetView zoomScale="55" zoomScaleNormal="55" workbookViewId="0">
      <selection activeCell="R48" sqref="R48"/>
    </sheetView>
  </sheetViews>
  <sheetFormatPr defaultColWidth="9.15625" defaultRowHeight="15" customHeight="1" x14ac:dyDescent="0.55000000000000004"/>
  <cols>
    <col min="1" max="2" width="9.15625" customWidth="1"/>
    <col min="3" max="3" width="10.26171875" bestFit="1" customWidth="1"/>
    <col min="4" max="14" width="9.15625" customWidth="1"/>
    <col min="15" max="15" width="2.578125" customWidth="1"/>
    <col min="18" max="18" width="23.83984375" bestFit="1" customWidth="1"/>
    <col min="19" max="19" width="22.15625" bestFit="1" customWidth="1"/>
    <col min="20" max="20" width="23.41796875" customWidth="1"/>
    <col min="21" max="21" width="23.83984375" customWidth="1"/>
  </cols>
  <sheetData>
    <row r="2" spans="2:26" ht="14.4" x14ac:dyDescent="0.55000000000000004">
      <c r="B2" t="s">
        <v>0</v>
      </c>
      <c r="C2" s="1">
        <f>'Dati Generali'!D8</f>
        <v>0.1</v>
      </c>
      <c r="D2" s="1" t="s">
        <v>14</v>
      </c>
    </row>
    <row r="3" spans="2:26" ht="14.4" x14ac:dyDescent="0.55000000000000004">
      <c r="B3" t="s">
        <v>21</v>
      </c>
      <c r="C3" s="1">
        <f>'Dati Generali'!D15</f>
        <v>0.03</v>
      </c>
      <c r="D3" s="1" t="s">
        <v>14</v>
      </c>
    </row>
    <row r="4" spans="2:26" ht="14.4" x14ac:dyDescent="0.55000000000000004">
      <c r="B4" t="s">
        <v>20</v>
      </c>
      <c r="C4" s="8">
        <f>'Dati Generali'!D16</f>
        <v>1.2</v>
      </c>
      <c r="D4" s="1" t="s">
        <v>22</v>
      </c>
    </row>
    <row r="5" spans="2:26" ht="14.4" x14ac:dyDescent="0.55000000000000004">
      <c r="B5" t="s">
        <v>23</v>
      </c>
      <c r="C5" s="13">
        <f>C3/C4</f>
        <v>2.5000000000000001E-2</v>
      </c>
      <c r="D5" s="1" t="s">
        <v>15</v>
      </c>
    </row>
    <row r="6" spans="2:26" ht="14.4" x14ac:dyDescent="0.55000000000000004">
      <c r="B6" t="s">
        <v>50</v>
      </c>
      <c r="C6" s="21">
        <f>IF(C5="","dati mancanti",IF(C5&gt;0.0792,S14,R14))</f>
        <v>4.2917343749999989E-2</v>
      </c>
      <c r="D6" s="1" t="s">
        <v>16</v>
      </c>
      <c r="F6" s="101" t="s">
        <v>26</v>
      </c>
      <c r="G6" s="101"/>
      <c r="H6" s="101"/>
      <c r="I6" s="101"/>
      <c r="J6" s="101"/>
      <c r="K6" s="101"/>
      <c r="L6" s="101"/>
      <c r="M6" s="101"/>
      <c r="N6" s="101"/>
    </row>
    <row r="7" spans="2:26" ht="14.4" x14ac:dyDescent="0.55000000000000004">
      <c r="F7" s="7">
        <v>0.01</v>
      </c>
      <c r="G7" s="7">
        <v>2.0799999999999999E-2</v>
      </c>
      <c r="H7" s="7">
        <v>2.92E-2</v>
      </c>
      <c r="I7" s="7">
        <v>3.7499999999999999E-2</v>
      </c>
      <c r="J7" s="7">
        <v>4.58E-2</v>
      </c>
      <c r="K7" s="7">
        <v>5.4199999999999998E-2</v>
      </c>
      <c r="L7" s="7">
        <v>6.25E-2</v>
      </c>
      <c r="M7" s="7">
        <v>7.0800000000000002E-2</v>
      </c>
      <c r="N7" s="7">
        <v>7.9200000000000007E-2</v>
      </c>
      <c r="R7" s="1" t="s">
        <v>60</v>
      </c>
      <c r="S7" s="1" t="s">
        <v>59</v>
      </c>
    </row>
    <row r="8" spans="2:26" ht="14.4" x14ac:dyDescent="0.55000000000000004">
      <c r="E8" s="15" t="s">
        <v>11</v>
      </c>
      <c r="F8" s="100" t="s">
        <v>61</v>
      </c>
      <c r="G8" s="100"/>
      <c r="H8" s="100"/>
      <c r="I8" s="100"/>
      <c r="J8" s="100"/>
      <c r="K8" s="100"/>
      <c r="L8" s="100"/>
      <c r="M8" s="100"/>
      <c r="N8" s="100"/>
      <c r="Q8" t="s">
        <v>5</v>
      </c>
      <c r="R8" s="1">
        <f>LOOKUP($C$2,$B$23:$I$23,B35:I35)</f>
        <v>3.3000000000000002E-2</v>
      </c>
      <c r="S8" s="1">
        <f>C61</f>
        <v>1.2765</v>
      </c>
    </row>
    <row r="9" spans="2:26" ht="14.4" x14ac:dyDescent="0.55000000000000004">
      <c r="E9" s="4">
        <v>0.05</v>
      </c>
      <c r="F9" s="2">
        <v>8.0000000000000002E-3</v>
      </c>
      <c r="G9" s="2">
        <v>5.0000000000000001E-3</v>
      </c>
      <c r="H9" s="2">
        <v>2E-3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Q9" t="s">
        <v>6</v>
      </c>
      <c r="R9" s="1">
        <f>LOOKUP($C$2,$B$23:$I$23,B36:I36)</f>
        <v>1.9748000000000001</v>
      </c>
      <c r="S9" s="1">
        <f>C62</f>
        <v>-9.0997000000000003</v>
      </c>
    </row>
    <row r="10" spans="2:26" ht="14.4" x14ac:dyDescent="0.55000000000000004">
      <c r="E10" s="4">
        <v>7.4999999999999997E-2</v>
      </c>
      <c r="F10" s="2">
        <v>2.4E-2</v>
      </c>
      <c r="G10" s="2">
        <v>2.1000000000000001E-2</v>
      </c>
      <c r="H10" s="2">
        <v>1.7999999999999999E-2</v>
      </c>
      <c r="I10" s="2">
        <v>1.0999999999999999E-2</v>
      </c>
      <c r="J10" s="2">
        <v>2E-3</v>
      </c>
      <c r="K10" s="2">
        <v>0</v>
      </c>
      <c r="L10" s="2">
        <v>0</v>
      </c>
      <c r="M10" s="2">
        <v>0</v>
      </c>
      <c r="N10" s="2">
        <v>0</v>
      </c>
      <c r="Q10" t="s">
        <v>7</v>
      </c>
      <c r="R10" s="1">
        <f>LOOKUP($C$2,$B$23:$I$23,B37:I37)</f>
        <v>-78.426000000000002</v>
      </c>
      <c r="S10" s="1">
        <f>C63</f>
        <v>25.37</v>
      </c>
    </row>
    <row r="11" spans="2:26" ht="14.4" x14ac:dyDescent="0.55000000000000004">
      <c r="E11" s="4">
        <v>0.1</v>
      </c>
      <c r="F11" s="2">
        <v>4.5999999999999999E-2</v>
      </c>
      <c r="G11" s="2">
        <v>4.2999999999999997E-2</v>
      </c>
      <c r="H11" s="2">
        <v>4.1000000000000002E-2</v>
      </c>
      <c r="I11" s="2">
        <v>3.3000000000000002E-2</v>
      </c>
      <c r="J11" s="2">
        <v>1.4E-2</v>
      </c>
      <c r="K11" s="2">
        <v>5.0000000000000001E-3</v>
      </c>
      <c r="L11" s="2">
        <v>0</v>
      </c>
      <c r="M11" s="2">
        <v>0</v>
      </c>
      <c r="N11" s="2">
        <v>0</v>
      </c>
      <c r="Q11" t="s">
        <v>8</v>
      </c>
      <c r="R11" s="1">
        <f>LOOKUP($C$2,$B$23:$I$23,B38:I38)</f>
        <v>612.07000000000005</v>
      </c>
      <c r="S11" s="1">
        <f>C64</f>
        <v>-31.678000000000001</v>
      </c>
    </row>
    <row r="12" spans="2:26" ht="14.4" x14ac:dyDescent="0.55000000000000004">
      <c r="E12" s="4">
        <v>0.15</v>
      </c>
      <c r="F12" s="2">
        <v>8.7999999999999995E-2</v>
      </c>
      <c r="G12" s="2">
        <v>8.5000000000000006E-2</v>
      </c>
      <c r="H12" s="2">
        <v>8.2000000000000003E-2</v>
      </c>
      <c r="I12" s="2">
        <v>7.5999999999999998E-2</v>
      </c>
      <c r="J12" s="2">
        <v>5.5E-2</v>
      </c>
      <c r="K12" s="2">
        <v>3.7999999999999999E-2</v>
      </c>
      <c r="L12" s="2">
        <v>2.4E-2</v>
      </c>
      <c r="M12" s="2">
        <v>1.4E-2</v>
      </c>
      <c r="N12" s="2">
        <v>6.0000000000000001E-3</v>
      </c>
      <c r="S12" s="1">
        <f>C65</f>
        <v>14.680999999999999</v>
      </c>
      <c r="Y12" s="9"/>
      <c r="Z12" s="9"/>
    </row>
    <row r="13" spans="2:26" ht="14.4" x14ac:dyDescent="0.55000000000000004">
      <c r="E13" s="4">
        <v>0.2</v>
      </c>
      <c r="F13" s="2">
        <v>0.13100000000000001</v>
      </c>
      <c r="G13" s="2">
        <v>0.13</v>
      </c>
      <c r="H13" s="2">
        <v>0.129</v>
      </c>
      <c r="I13" s="2">
        <v>0.123</v>
      </c>
      <c r="J13" s="2">
        <v>0.105</v>
      </c>
      <c r="K13" s="2">
        <v>8.3000000000000004E-2</v>
      </c>
      <c r="L13" s="2">
        <v>5.7000000000000002E-2</v>
      </c>
      <c r="M13" s="2">
        <v>0.04</v>
      </c>
      <c r="N13" s="2">
        <v>2.8000000000000001E-2</v>
      </c>
      <c r="R13" s="22" t="s">
        <v>48</v>
      </c>
      <c r="S13" s="1">
        <f>C3/C2</f>
        <v>0.3</v>
      </c>
      <c r="Y13" s="9"/>
      <c r="Z13" s="9"/>
    </row>
    <row r="14" spans="2:26" ht="14.4" x14ac:dyDescent="0.55000000000000004">
      <c r="E14" s="4">
        <v>0.22500000000000001</v>
      </c>
      <c r="F14" s="2">
        <v>0.155</v>
      </c>
      <c r="G14" s="2">
        <v>0.154</v>
      </c>
      <c r="H14" s="2">
        <v>0.153</v>
      </c>
      <c r="I14" s="2">
        <v>0.14599999999999999</v>
      </c>
      <c r="J14" s="2">
        <v>0.13</v>
      </c>
      <c r="K14" s="2">
        <v>0.11</v>
      </c>
      <c r="L14" s="2">
        <v>7.6999999999999999E-2</v>
      </c>
      <c r="M14" s="2">
        <v>5.6000000000000001E-2</v>
      </c>
      <c r="N14" s="2">
        <v>4.1000000000000002E-2</v>
      </c>
      <c r="P14" s="9"/>
      <c r="R14" s="23">
        <f>R8+R9*C5+R10*C5^2+R11*C5^3</f>
        <v>4.2917343749999989E-2</v>
      </c>
      <c r="S14" s="1">
        <f>IF(S13&gt;0.75,0,S8+S9*S13+S10*S13^2+S11*S13^3+S12*S13^4)</f>
        <v>9.3500100000000211E-2</v>
      </c>
      <c r="T14" s="9"/>
      <c r="U14" s="9"/>
      <c r="V14" s="9"/>
      <c r="Y14" s="10"/>
      <c r="Z14" s="9"/>
    </row>
    <row r="15" spans="2:26" ht="14.4" x14ac:dyDescent="0.55000000000000004">
      <c r="E15" s="4">
        <v>0.3</v>
      </c>
      <c r="F15" s="2">
        <v>0.254</v>
      </c>
      <c r="G15" s="2">
        <v>0.253</v>
      </c>
      <c r="H15" s="2">
        <v>0.253</v>
      </c>
      <c r="I15" s="2">
        <v>0.245</v>
      </c>
      <c r="J15" s="2">
        <v>0.22800000000000001</v>
      </c>
      <c r="K15" s="2">
        <v>0.19500000000000001</v>
      </c>
      <c r="L15" s="2">
        <v>0.14499999999999999</v>
      </c>
      <c r="M15" s="2">
        <v>0.114</v>
      </c>
      <c r="N15" s="2">
        <v>8.5999999999999993E-2</v>
      </c>
      <c r="P15" s="9"/>
      <c r="Q15" s="9"/>
      <c r="R15" s="9"/>
      <c r="S15" s="9"/>
      <c r="T15" s="9"/>
      <c r="U15" s="9"/>
      <c r="V15" s="9"/>
      <c r="W15" s="10"/>
      <c r="X15" s="10"/>
      <c r="Y15" s="10"/>
      <c r="Z15" s="9"/>
    </row>
    <row r="16" spans="2:26" ht="14.4" x14ac:dyDescent="0.55000000000000004">
      <c r="E16" s="5">
        <v>0.375</v>
      </c>
      <c r="F16" s="3">
        <v>0.42199999999999999</v>
      </c>
      <c r="G16" s="3">
        <v>0.42099999999999999</v>
      </c>
      <c r="H16" s="3">
        <v>0.42099999999999999</v>
      </c>
      <c r="I16" s="3">
        <v>0.40500000000000003</v>
      </c>
      <c r="J16" s="3">
        <v>0.38500000000000001</v>
      </c>
      <c r="K16" s="3">
        <v>0.32500000000000001</v>
      </c>
      <c r="L16" s="3">
        <v>0.23</v>
      </c>
      <c r="M16" s="3">
        <v>0.183</v>
      </c>
      <c r="N16" s="3">
        <v>0.14199999999999999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9"/>
    </row>
    <row r="17" spans="1:26" ht="13.5" customHeight="1" x14ac:dyDescent="0.55000000000000004">
      <c r="Q17" s="9"/>
      <c r="R17" s="10"/>
      <c r="S17" s="10"/>
      <c r="T17" s="10"/>
      <c r="U17" s="10"/>
      <c r="V17" s="10"/>
      <c r="W17" s="10"/>
      <c r="X17" s="10"/>
      <c r="Y17" s="10"/>
      <c r="Z17" s="9"/>
    </row>
    <row r="18" spans="1:26" ht="14.4" x14ac:dyDescent="0.55000000000000004"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4" x14ac:dyDescent="0.55000000000000004"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4" x14ac:dyDescent="0.55000000000000004"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4" x14ac:dyDescent="0.55000000000000004"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4" x14ac:dyDescent="0.55000000000000004">
      <c r="B22" s="102" t="s">
        <v>0</v>
      </c>
      <c r="C22" s="102"/>
      <c r="D22" s="102"/>
      <c r="E22" s="102"/>
      <c r="F22" s="102"/>
      <c r="G22" s="102"/>
      <c r="H22" s="102"/>
      <c r="I22" s="10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4" x14ac:dyDescent="0.55000000000000004">
      <c r="B23" s="1">
        <v>0.05</v>
      </c>
      <c r="C23" s="1">
        <v>7.4999999999999997E-2</v>
      </c>
      <c r="D23" s="1">
        <v>0.1</v>
      </c>
      <c r="E23" s="1">
        <v>0.15</v>
      </c>
      <c r="F23" s="1">
        <v>0.2</v>
      </c>
      <c r="G23" s="1">
        <v>0.22500000000000001</v>
      </c>
      <c r="H23" s="1">
        <v>0.3</v>
      </c>
      <c r="I23" s="1">
        <v>0.375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4" x14ac:dyDescent="0.55000000000000004">
      <c r="A24" s="1"/>
      <c r="B24" s="1"/>
      <c r="C24" s="1"/>
      <c r="D24" s="1"/>
      <c r="E24" s="1"/>
      <c r="F24" s="1"/>
      <c r="G24" s="1"/>
      <c r="H24" s="1"/>
      <c r="I24" s="1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4" x14ac:dyDescent="0.55000000000000004">
      <c r="A25">
        <v>0.01</v>
      </c>
      <c r="B25">
        <v>8.0000000000000002E-3</v>
      </c>
      <c r="C25">
        <v>2.4E-2</v>
      </c>
      <c r="D25">
        <v>4.5999999999999999E-2</v>
      </c>
      <c r="E25">
        <v>8.7999999999999995E-2</v>
      </c>
      <c r="F25">
        <v>0.13100000000000001</v>
      </c>
      <c r="G25">
        <v>0.155</v>
      </c>
      <c r="H25">
        <v>0.254</v>
      </c>
      <c r="I25">
        <v>0.42199999999999999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4" x14ac:dyDescent="0.55000000000000004">
      <c r="A26">
        <v>2.0799999999999999E-2</v>
      </c>
      <c r="B26">
        <v>5.0000000000000001E-3</v>
      </c>
      <c r="C26">
        <v>2.1000000000000001E-2</v>
      </c>
      <c r="D26">
        <v>4.2999999999999997E-2</v>
      </c>
      <c r="E26">
        <v>8.5000000000000006E-2</v>
      </c>
      <c r="F26">
        <v>0.13</v>
      </c>
      <c r="G26">
        <v>0.154</v>
      </c>
      <c r="H26">
        <v>0.253</v>
      </c>
      <c r="I26">
        <v>0.42099999999999999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4" x14ac:dyDescent="0.55000000000000004">
      <c r="A27">
        <v>2.92E-2</v>
      </c>
      <c r="B27">
        <v>2E-3</v>
      </c>
      <c r="C27">
        <v>1.7999999999999999E-2</v>
      </c>
      <c r="D27">
        <v>4.1000000000000002E-2</v>
      </c>
      <c r="E27">
        <v>8.2000000000000003E-2</v>
      </c>
      <c r="F27">
        <v>0.129</v>
      </c>
      <c r="G27">
        <v>0.153</v>
      </c>
      <c r="H27">
        <v>0.253</v>
      </c>
      <c r="I27">
        <v>0.42099999999999999</v>
      </c>
    </row>
    <row r="28" spans="1:26" ht="14.4" x14ac:dyDescent="0.55000000000000004">
      <c r="A28">
        <v>3.7499999999999999E-2</v>
      </c>
      <c r="B28">
        <v>0</v>
      </c>
      <c r="C28">
        <v>1.0999999999999999E-2</v>
      </c>
      <c r="D28">
        <v>3.3000000000000002E-2</v>
      </c>
      <c r="E28">
        <v>7.5999999999999998E-2</v>
      </c>
      <c r="F28">
        <v>0.123</v>
      </c>
      <c r="G28">
        <v>0.14599999999999999</v>
      </c>
      <c r="H28">
        <v>0.245</v>
      </c>
      <c r="I28">
        <v>0.40500000000000003</v>
      </c>
    </row>
    <row r="29" spans="1:26" ht="14.4" x14ac:dyDescent="0.55000000000000004">
      <c r="A29">
        <v>4.58E-2</v>
      </c>
      <c r="B29">
        <v>0</v>
      </c>
      <c r="C29">
        <v>2E-3</v>
      </c>
      <c r="D29">
        <v>1.4E-2</v>
      </c>
      <c r="E29">
        <v>5.5E-2</v>
      </c>
      <c r="F29">
        <v>0.105</v>
      </c>
      <c r="G29">
        <v>0.13</v>
      </c>
      <c r="H29">
        <v>0.22800000000000001</v>
      </c>
      <c r="I29">
        <v>0.38500000000000001</v>
      </c>
    </row>
    <row r="30" spans="1:26" ht="14.4" x14ac:dyDescent="0.55000000000000004">
      <c r="A30">
        <v>5.4199999999999998E-2</v>
      </c>
      <c r="B30">
        <v>0</v>
      </c>
      <c r="C30">
        <v>0</v>
      </c>
      <c r="D30">
        <v>5.0000000000000001E-3</v>
      </c>
      <c r="E30">
        <v>3.7999999999999999E-2</v>
      </c>
      <c r="F30">
        <v>8.3000000000000004E-2</v>
      </c>
      <c r="G30">
        <v>0.11</v>
      </c>
      <c r="H30">
        <v>0.19500000000000001</v>
      </c>
      <c r="I30">
        <v>0.32500000000000001</v>
      </c>
    </row>
    <row r="31" spans="1:26" ht="14.4" x14ac:dyDescent="0.55000000000000004">
      <c r="A31">
        <v>6.25E-2</v>
      </c>
      <c r="B31">
        <v>0</v>
      </c>
      <c r="C31">
        <v>0</v>
      </c>
      <c r="D31">
        <v>0</v>
      </c>
      <c r="E31">
        <v>2.4E-2</v>
      </c>
      <c r="F31">
        <v>5.7000000000000002E-2</v>
      </c>
      <c r="G31">
        <v>7.6999999999999999E-2</v>
      </c>
      <c r="H31">
        <v>0.14499999999999999</v>
      </c>
      <c r="I31">
        <v>0.23</v>
      </c>
    </row>
    <row r="32" spans="1:26" ht="14.4" x14ac:dyDescent="0.55000000000000004">
      <c r="A32">
        <v>7.0800000000000002E-2</v>
      </c>
      <c r="B32">
        <v>0</v>
      </c>
      <c r="C32">
        <v>0</v>
      </c>
      <c r="D32">
        <v>0</v>
      </c>
      <c r="E32">
        <v>1.4E-2</v>
      </c>
      <c r="F32">
        <v>0.04</v>
      </c>
      <c r="G32">
        <v>5.6000000000000001E-2</v>
      </c>
      <c r="H32">
        <v>0.114</v>
      </c>
      <c r="I32">
        <v>0.183</v>
      </c>
    </row>
    <row r="33" spans="1:9" ht="14.4" x14ac:dyDescent="0.55000000000000004">
      <c r="A33">
        <v>7.9200000000000007E-2</v>
      </c>
      <c r="B33">
        <v>0</v>
      </c>
      <c r="C33">
        <v>0</v>
      </c>
      <c r="D33">
        <v>0</v>
      </c>
      <c r="E33">
        <v>6.0000000000000001E-3</v>
      </c>
      <c r="F33">
        <v>2.8000000000000001E-2</v>
      </c>
      <c r="G33">
        <v>4.1000000000000002E-2</v>
      </c>
      <c r="H33">
        <v>8.5999999999999993E-2</v>
      </c>
      <c r="I33">
        <v>0.14199999999999999</v>
      </c>
    </row>
    <row r="35" spans="1:9" ht="15" customHeight="1" x14ac:dyDescent="0.55000000000000004">
      <c r="A35" t="s">
        <v>5</v>
      </c>
      <c r="B35" s="1">
        <v>1.3899999999999999E-2</v>
      </c>
      <c r="C35" s="1">
        <v>2.4500000000000001E-2</v>
      </c>
      <c r="D35" s="1">
        <v>3.3000000000000002E-2</v>
      </c>
      <c r="E35" s="1">
        <v>6.9500000000000006E-2</v>
      </c>
      <c r="F35" s="1">
        <v>0.1037</v>
      </c>
      <c r="G35" s="1">
        <v>0.129</v>
      </c>
      <c r="H35" s="1">
        <v>0.21679999999999999</v>
      </c>
      <c r="I35" s="1">
        <v>0.3513</v>
      </c>
    </row>
    <row r="36" spans="1:9" ht="15" customHeight="1" x14ac:dyDescent="0.55000000000000004">
      <c r="A36" t="s">
        <v>6</v>
      </c>
      <c r="B36" s="1">
        <v>-0.64810000000000001</v>
      </c>
      <c r="C36" s="1">
        <v>0.2399</v>
      </c>
      <c r="D36" s="1">
        <v>1.9748000000000001</v>
      </c>
      <c r="E36" s="1">
        <v>2.5230999999999999</v>
      </c>
      <c r="F36" s="1">
        <v>3.4235000000000002</v>
      </c>
      <c r="G36" s="1">
        <v>3.1899000000000002</v>
      </c>
      <c r="H36" s="1">
        <v>4.3967999999999998</v>
      </c>
      <c r="I36" s="1">
        <v>8.3102</v>
      </c>
    </row>
    <row r="37" spans="1:9" ht="15" customHeight="1" x14ac:dyDescent="0.55000000000000004">
      <c r="A37" t="s">
        <v>7</v>
      </c>
      <c r="B37" s="1">
        <v>9.6920000000000002</v>
      </c>
      <c r="C37" s="1">
        <v>-24.853999999999999</v>
      </c>
      <c r="D37" s="1">
        <v>-78.426000000000002</v>
      </c>
      <c r="E37" s="1">
        <v>-88.478999999999999</v>
      </c>
      <c r="F37" s="1">
        <v>-103.02</v>
      </c>
      <c r="G37" s="1">
        <v>-92.899000000000001</v>
      </c>
      <c r="H37" s="1">
        <v>-119.28</v>
      </c>
      <c r="I37" s="1">
        <v>-224.95</v>
      </c>
    </row>
    <row r="38" spans="1:9" ht="15" customHeight="1" x14ac:dyDescent="0.55000000000000004">
      <c r="A38" t="s">
        <v>8</v>
      </c>
      <c r="B38" s="1">
        <v>-46.777000000000001</v>
      </c>
      <c r="C38" s="1">
        <v>229.07</v>
      </c>
      <c r="D38" s="1">
        <v>612.07000000000005</v>
      </c>
      <c r="E38" s="1">
        <v>587.15</v>
      </c>
      <c r="F38" s="1">
        <v>598.16</v>
      </c>
      <c r="G38" s="1">
        <v>480.61</v>
      </c>
      <c r="H38" s="1">
        <v>531.66</v>
      </c>
      <c r="I38" s="1">
        <v>1072.9000000000001</v>
      </c>
    </row>
    <row r="41" spans="1:9" ht="15" customHeight="1" x14ac:dyDescent="0.55000000000000004">
      <c r="B41" s="1"/>
      <c r="C41" s="1"/>
      <c r="D41" s="1"/>
      <c r="E41" s="1"/>
      <c r="F41" s="1"/>
      <c r="G41" s="1"/>
      <c r="H41" s="1"/>
      <c r="I41" s="1"/>
    </row>
    <row r="42" spans="1:9" ht="15" customHeight="1" x14ac:dyDescent="0.55000000000000004">
      <c r="B42" s="1"/>
      <c r="C42" s="1"/>
      <c r="D42" s="1"/>
      <c r="E42" s="1"/>
      <c r="F42" s="1"/>
      <c r="G42" s="1"/>
      <c r="H42" s="1"/>
      <c r="I42" s="1"/>
    </row>
    <row r="43" spans="1:9" ht="15" customHeight="1" x14ac:dyDescent="0.55000000000000004">
      <c r="B43" s="1"/>
      <c r="C43" s="1"/>
      <c r="D43" s="1"/>
      <c r="E43" s="1"/>
      <c r="F43" s="1"/>
      <c r="G43" s="1"/>
      <c r="H43" s="1"/>
      <c r="I43" s="1"/>
    </row>
    <row r="44" spans="1:9" ht="15" customHeight="1" x14ac:dyDescent="0.55000000000000004">
      <c r="B44" t="s">
        <v>57</v>
      </c>
    </row>
    <row r="46" spans="1:9" ht="15" customHeight="1" x14ac:dyDescent="0.55000000000000004">
      <c r="B46" s="15" t="s">
        <v>56</v>
      </c>
      <c r="C46" s="15" t="s">
        <v>50</v>
      </c>
    </row>
    <row r="47" spans="1:9" ht="15" customHeight="1" x14ac:dyDescent="0.55000000000000004">
      <c r="B47" s="15">
        <v>0.17299999999999999</v>
      </c>
      <c r="C47" s="15">
        <v>0.32</v>
      </c>
    </row>
    <row r="48" spans="1:9" ht="15" customHeight="1" x14ac:dyDescent="0.55000000000000004">
      <c r="B48" s="15">
        <v>0.2</v>
      </c>
      <c r="C48" s="15">
        <v>0.23</v>
      </c>
    </row>
    <row r="49" spans="2:3" ht="15" customHeight="1" x14ac:dyDescent="0.55000000000000004">
      <c r="B49" s="15">
        <v>0.25</v>
      </c>
      <c r="C49" s="15">
        <v>0.14499999999999999</v>
      </c>
    </row>
    <row r="50" spans="2:3" ht="15" customHeight="1" x14ac:dyDescent="0.55000000000000004">
      <c r="B50" s="15">
        <v>0.3</v>
      </c>
      <c r="C50" s="15">
        <v>9.7000000000000003E-2</v>
      </c>
    </row>
    <row r="51" spans="2:3" ht="15" customHeight="1" x14ac:dyDescent="0.55000000000000004">
      <c r="B51" s="15">
        <v>0.35</v>
      </c>
      <c r="C51" s="15">
        <v>6.7000000000000004E-2</v>
      </c>
    </row>
    <row r="52" spans="2:3" ht="15" customHeight="1" x14ac:dyDescent="0.55000000000000004">
      <c r="B52" s="15">
        <v>0.4</v>
      </c>
      <c r="C52" s="15">
        <v>4.8000000000000001E-2</v>
      </c>
    </row>
    <row r="53" spans="2:3" ht="15" customHeight="1" x14ac:dyDescent="0.55000000000000004">
      <c r="B53" s="15">
        <v>0.45</v>
      </c>
      <c r="C53" s="15">
        <v>3.3000000000000002E-2</v>
      </c>
    </row>
    <row r="54" spans="2:3" ht="15" customHeight="1" x14ac:dyDescent="0.55000000000000004">
      <c r="B54" s="15">
        <v>0.5</v>
      </c>
      <c r="C54" s="15">
        <v>2.3E-2</v>
      </c>
    </row>
    <row r="55" spans="2:3" ht="15" customHeight="1" x14ac:dyDescent="0.55000000000000004">
      <c r="B55" s="15">
        <v>0.55000000000000004</v>
      </c>
      <c r="C55" s="15">
        <v>1.4999999999999999E-2</v>
      </c>
    </row>
    <row r="56" spans="2:3" ht="15" customHeight="1" x14ac:dyDescent="0.55000000000000004">
      <c r="B56" s="15">
        <v>0.6</v>
      </c>
      <c r="C56" s="15">
        <v>8.9999999999999993E-3</v>
      </c>
    </row>
    <row r="57" spans="2:3" ht="15" customHeight="1" x14ac:dyDescent="0.55000000000000004">
      <c r="B57" s="15">
        <v>0.65</v>
      </c>
      <c r="C57" s="15">
        <v>5.0000000000000001E-3</v>
      </c>
    </row>
    <row r="58" spans="2:3" ht="15" customHeight="1" x14ac:dyDescent="0.55000000000000004">
      <c r="B58" s="15">
        <v>0.7</v>
      </c>
      <c r="C58" s="15">
        <v>2E-3</v>
      </c>
    </row>
    <row r="59" spans="2:3" ht="15" customHeight="1" x14ac:dyDescent="0.55000000000000004">
      <c r="B59" s="15">
        <v>0.75</v>
      </c>
      <c r="C59" s="15">
        <v>0</v>
      </c>
    </row>
    <row r="61" spans="2:3" ht="15" customHeight="1" x14ac:dyDescent="0.55000000000000004">
      <c r="B61" t="s">
        <v>24</v>
      </c>
      <c r="C61">
        <v>1.2765</v>
      </c>
    </row>
    <row r="62" spans="2:3" ht="15" customHeight="1" x14ac:dyDescent="0.55000000000000004">
      <c r="B62" t="s">
        <v>6</v>
      </c>
      <c r="C62">
        <v>-9.0997000000000003</v>
      </c>
    </row>
    <row r="63" spans="2:3" ht="15" customHeight="1" x14ac:dyDescent="0.55000000000000004">
      <c r="B63" t="s">
        <v>7</v>
      </c>
      <c r="C63">
        <v>25.37</v>
      </c>
    </row>
    <row r="64" spans="2:3" ht="15" customHeight="1" x14ac:dyDescent="0.55000000000000004">
      <c r="B64" t="s">
        <v>8</v>
      </c>
      <c r="C64">
        <v>-31.678000000000001</v>
      </c>
    </row>
    <row r="65" spans="2:3" ht="15" customHeight="1" x14ac:dyDescent="0.55000000000000004">
      <c r="B65" t="s">
        <v>49</v>
      </c>
      <c r="C65">
        <v>14.680999999999999</v>
      </c>
    </row>
  </sheetData>
  <mergeCells count="3">
    <mergeCell ref="F6:N6"/>
    <mergeCell ref="F8:N8"/>
    <mergeCell ref="B22:I2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70" zoomScaleNormal="70" workbookViewId="0">
      <selection activeCell="B9" sqref="B9"/>
    </sheetView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Grafici</vt:lpstr>
      </vt:variant>
      <vt:variant>
        <vt:i4>1</vt:i4>
      </vt:variant>
    </vt:vector>
  </HeadingPairs>
  <TitlesOfParts>
    <vt:vector size="8" baseType="lpstr">
      <vt:lpstr>Dati Generali</vt:lpstr>
      <vt:lpstr>a_T</vt:lpstr>
      <vt:lpstr>a_u</vt:lpstr>
      <vt:lpstr>a_D</vt:lpstr>
      <vt:lpstr>B_G</vt:lpstr>
      <vt:lpstr>n_G</vt:lpstr>
      <vt:lpstr>Foglio1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Emmi</dc:creator>
  <cp:lastModifiedBy>Administrator</cp:lastModifiedBy>
  <dcterms:created xsi:type="dcterms:W3CDTF">2015-11-15T14:40:01Z</dcterms:created>
  <dcterms:modified xsi:type="dcterms:W3CDTF">2022-05-04T15:06:05Z</dcterms:modified>
</cp:coreProperties>
</file>